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hris\Nextcloud\Opening re-use\AP5\Excel-Tool\"/>
    </mc:Choice>
  </mc:AlternateContent>
  <xr:revisionPtr revIDLastSave="0" documentId="13_ncr:1_{7DE04815-5D6A-432A-8358-5997FA8A30D9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OOLDRAFT_VERS2" sheetId="1" r:id="rId1"/>
    <sheet name="Lookup_Dataset 1" sheetId="2" r:id="rId2"/>
    <sheet name="Dataset 2" sheetId="3" r:id="rId3"/>
    <sheet name="Dataset 3" sheetId="4" r:id="rId4"/>
    <sheet name="Dataset 4" sheetId="5" r:id="rId5"/>
    <sheet name="Dataset 5" sheetId="6" r:id="rId6"/>
    <sheet name="Merkmale" sheetId="7" r:id="rId7"/>
    <sheet name="ökologische_KPIs" sheetId="8" r:id="rId8"/>
  </sheets>
  <definedNames>
    <definedName name="kpi_ecoinvent">#REF!</definedName>
    <definedName name="Type">Merkmale!$A$2:$A$15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2" l="1"/>
  <c r="G55" i="1"/>
  <c r="G54" i="1"/>
  <c r="G53" i="1"/>
  <c r="G51" i="1"/>
  <c r="G50" i="1"/>
  <c r="G48" i="1"/>
  <c r="O32" i="1"/>
  <c r="O31" i="1"/>
  <c r="O28" i="1"/>
  <c r="O24" i="1"/>
  <c r="H17" i="1"/>
  <c r="H16" i="1"/>
  <c r="H14" i="1"/>
  <c r="I14" i="1" s="1"/>
  <c r="H24" i="1" l="1"/>
  <c r="B15" i="1"/>
  <c r="A2" i="6" l="1"/>
  <c r="A1" i="6"/>
  <c r="J27" i="1" s="1"/>
  <c r="K27" i="1" s="1"/>
  <c r="K28" i="1" s="1"/>
  <c r="B21" i="5"/>
  <c r="B20" i="5"/>
  <c r="O22" i="1" s="1"/>
  <c r="B17" i="5"/>
  <c r="B16" i="5"/>
  <c r="O21" i="1" s="1"/>
  <c r="B13" i="5"/>
  <c r="H26" i="1" s="1"/>
  <c r="I26" i="1" s="1"/>
  <c r="F6" i="5"/>
  <c r="F5" i="5"/>
  <c r="F4" i="5"/>
  <c r="F3" i="5"/>
  <c r="B8" i="4"/>
  <c r="A8" i="4"/>
  <c r="B7" i="4"/>
  <c r="H15" i="1" s="1"/>
  <c r="A7" i="4"/>
  <c r="E13" i="3"/>
  <c r="C13" i="3"/>
  <c r="E12" i="3"/>
  <c r="C12" i="3"/>
  <c r="E11" i="3"/>
  <c r="C11" i="3"/>
  <c r="E7" i="3"/>
  <c r="C7" i="3"/>
  <c r="O26" i="1" s="1"/>
  <c r="E6" i="3"/>
  <c r="C6" i="3"/>
  <c r="E5" i="3"/>
  <c r="C5" i="3"/>
  <c r="F19" i="2"/>
  <c r="F18" i="2"/>
  <c r="O18" i="1" s="1"/>
  <c r="E15" i="2"/>
  <c r="F15" i="2" s="1"/>
  <c r="O17" i="1" s="1"/>
  <c r="F14" i="2"/>
  <c r="F10" i="2"/>
  <c r="F9" i="2"/>
  <c r="F6" i="2"/>
  <c r="O13" i="1" s="1"/>
  <c r="G46" i="1"/>
  <c r="C38" i="1"/>
  <c r="I36" i="1"/>
  <c r="I38" i="1" s="1"/>
  <c r="I43" i="1" s="1"/>
  <c r="H36" i="1"/>
  <c r="H41" i="1" s="1"/>
  <c r="H42" i="1" s="1"/>
  <c r="O27" i="1"/>
  <c r="I17" i="1"/>
  <c r="I16" i="1"/>
  <c r="K14" i="1"/>
  <c r="B13" i="1"/>
  <c r="H25" i="1" l="1"/>
  <c r="H7" i="1" s="1"/>
  <c r="O14" i="1"/>
  <c r="H21" i="1" s="1"/>
  <c r="H6" i="1" s="1"/>
  <c r="H13" i="1"/>
  <c r="I25" i="1"/>
  <c r="H37" i="1"/>
  <c r="J15" i="1"/>
  <c r="I15" i="1"/>
  <c r="K15" i="1" s="1"/>
  <c r="J14" i="1"/>
  <c r="I24" i="1"/>
  <c r="I41" i="1"/>
  <c r="I42" i="1" s="1"/>
  <c r="J28" i="1"/>
  <c r="I37" i="1"/>
  <c r="H38" i="1"/>
  <c r="H43" i="1" s="1"/>
  <c r="I13" i="1" l="1"/>
  <c r="K13" i="1" s="1"/>
  <c r="H8" i="1"/>
  <c r="H9" i="1" s="1"/>
  <c r="H28" i="1"/>
  <c r="H18" i="1"/>
  <c r="J13" i="1"/>
  <c r="J18" i="1" s="1"/>
  <c r="I28" i="1"/>
  <c r="I7" i="1"/>
  <c r="I21" i="1"/>
  <c r="I6" i="1" s="1"/>
  <c r="I18" i="1" l="1"/>
  <c r="I8" i="1"/>
  <c r="I9" i="1" s="1"/>
  <c r="I31" i="1" s="1"/>
  <c r="J8" i="1"/>
  <c r="J9" i="1" s="1"/>
  <c r="J31" i="1" s="1"/>
  <c r="H31" i="1"/>
  <c r="K18" i="1"/>
  <c r="K8" i="1" s="1"/>
  <c r="H10" i="1" l="1"/>
  <c r="I10" i="1"/>
  <c r="K9" i="1"/>
  <c r="K31" i="1" s="1"/>
  <c r="J10" i="1"/>
  <c r="K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Rinder, Sabrina (sabrina.rinder@uni-graz.at)</author>
    <author>chris</author>
  </authors>
  <commentList>
    <comment ref="B5" authorId="0" shapeId="0" xr:uid="{00000000-0006-0000-0000-000001000000}">
      <text>
        <r>
          <rPr>
            <sz val="10"/>
            <rFont val="Calibri"/>
            <family val="2"/>
          </rPr>
          <t>Auswahl zwischen 2 Produktarten</t>
        </r>
      </text>
    </comment>
    <comment ref="H5" authorId="0" shapeId="0" xr:uid="{00000000-0006-0000-0000-000015000000}">
      <text>
        <r>
          <rPr>
            <sz val="10"/>
            <rFont val="Calibri"/>
            <family val="2"/>
          </rPr>
          <t>Zeit ist in folgendem Format angegeben:
[h]:mm
also Stunden:Minuten</t>
        </r>
      </text>
    </comment>
    <comment ref="J5" authorId="0" shapeId="0" xr:uid="{00000000-0006-0000-0000-000016000000}">
      <text>
        <r>
          <rPr>
            <sz val="10"/>
            <rFont val="Calibri"/>
            <family val="2"/>
          </rPr>
          <t>Zeit ist in folgendem Format angegeben:
[h]:mm
also Stunden:Minuten</t>
        </r>
      </text>
    </comment>
    <comment ref="B6" authorId="0" shapeId="0" xr:uid="{00000000-0006-0000-0000-000002000000}">
      <text>
        <r>
          <rPr>
            <sz val="10"/>
            <rFont val="Calibri"/>
            <family val="2"/>
          </rPr>
          <t xml:space="preserve">Eingabe des Jahres
Beispiel: 2024
</t>
        </r>
      </text>
    </comment>
    <comment ref="G6" authorId="1" shapeId="0" xr:uid="{5DB54FBB-E6A4-4498-8FDA-8E14E69D9572}">
      <text>
        <r>
          <rPr>
            <b/>
            <sz val="9"/>
            <color indexed="81"/>
            <rFont val="Segoe UI"/>
            <family val="2"/>
          </rPr>
          <t>(a), (b), (c), (d)  in Klammern bezieht sich auf die Abteilung nach Tätigkeit (siehe unten)</t>
        </r>
      </text>
    </comment>
    <comment ref="B7" authorId="0" shapeId="0" xr:uid="{00000000-0006-0000-0000-000003000000}">
      <text>
        <r>
          <rPr>
            <sz val="10"/>
            <rFont val="Calibri"/>
            <family val="2"/>
          </rPr>
          <t>Ja/Nein Frage?</t>
        </r>
      </text>
    </comment>
    <comment ref="B8" authorId="0" shapeId="0" xr:uid="{00000000-0006-0000-0000-000004000000}">
      <text>
        <r>
          <rPr>
            <sz val="10"/>
            <rFont val="Calibri"/>
            <family val="2"/>
          </rPr>
          <t>Wie schwer ist EINE Einheit dieses Produkts? 
Schätzung in kg. 
Beispiel: 1.5</t>
        </r>
      </text>
    </comment>
    <comment ref="B9" authorId="0" shapeId="0" xr:uid="{00000000-0006-0000-0000-000005000000}">
      <text>
        <r>
          <rPr>
            <sz val="10"/>
            <rFont val="Calibri"/>
            <family val="2"/>
          </rPr>
          <t>Anzahl der geplanten Stück des Produkts</t>
        </r>
      </text>
    </comment>
    <comment ref="B12" authorId="0" shapeId="0" xr:uid="{00000000-0006-0000-0000-000006000000}">
      <text>
        <r>
          <rPr>
            <sz val="10"/>
            <rFont val="Calibri"/>
            <family val="2"/>
          </rPr>
          <t>Wird die Ware selbst abgeholt?
Ja oder Nein?</t>
        </r>
      </text>
    </comment>
    <comment ref="B13" authorId="0" shapeId="0" xr:uid="{00000000-0006-0000-0000-000007000000}">
      <text>
        <r>
          <rPr>
            <sz val="10"/>
            <rFont val="Calibri"/>
            <family val="2"/>
          </rPr>
          <t xml:space="preserve">Wie lang dauert die Fahrt hin- und retour?
- Eingabe in Stunden
- Beispiel: Hin- und Rückfahrt dauern zweieinhalb Stunden, Eingabe: 2.5
</t>
        </r>
      </text>
    </comment>
    <comment ref="B14" authorId="0" shapeId="0" xr:uid="{00000000-0006-0000-0000-000008000000}">
      <text>
        <r>
          <rPr>
            <sz val="10"/>
            <rFont val="Calibri"/>
            <family val="2"/>
          </rPr>
          <t>Anzahl an Einheiten bei der Lieferung</t>
        </r>
      </text>
    </comment>
    <comment ref="B15" authorId="0" shapeId="0" xr:uid="{00000000-0006-0000-0000-000009000000}">
      <text>
        <r>
          <rPr>
            <sz val="10"/>
            <rFont val="Calibri"/>
            <family val="2"/>
          </rPr>
          <t>Wie viele Personen sind an diesem Prozess beteiligt?</t>
        </r>
      </text>
    </comment>
    <comment ref="B16" authorId="0" shapeId="0" xr:uid="{00000000-0006-0000-0000-00000A000000}">
      <text>
        <r>
          <rPr>
            <sz val="10"/>
            <rFont val="Calibri"/>
            <family val="2"/>
          </rPr>
          <t>Wie viele Personen sind an diesem Prozess beteiligt?</t>
        </r>
      </text>
    </comment>
    <comment ref="B18" authorId="1" shapeId="0" xr:uid="{B09468C8-D10F-454B-8B4B-0438923DB3E9}">
      <text>
        <r>
          <rPr>
            <sz val="9"/>
            <color indexed="81"/>
            <rFont val="Segoe UI"/>
            <family val="2"/>
          </rPr>
          <t xml:space="preserve">Die Sonderfälle führen zu verschiedenen "Versionen" (Zeiten) des Prozesses in Abteilung 1 (b) - Tabellenblatt Dataset 1
</t>
        </r>
      </text>
    </comment>
    <comment ref="B19" authorId="0" shapeId="0" xr:uid="{00000000-0006-0000-0000-00000B000000}">
      <text>
        <r>
          <rPr>
            <sz val="10"/>
            <rFont val="Calibri"/>
            <family val="2"/>
          </rPr>
          <t>Schätzung in %:
- Wie groß ist der Anteil an Produkten, bei denen dieser Sonderfall auftritt?</t>
        </r>
      </text>
    </comment>
    <comment ref="B20" authorId="0" shapeId="0" xr:uid="{00000000-0006-0000-0000-00000C000000}">
      <text>
        <r>
          <rPr>
            <sz val="10"/>
            <rFont val="Calibri"/>
            <family val="2"/>
          </rPr>
          <t>Schätzung in %:
- Wie groß ist der Anteil an Produkten, bei denen dieser Sonderfall auftritt?</t>
        </r>
      </text>
    </comment>
    <comment ref="B21" authorId="0" shapeId="0" xr:uid="{00000000-0006-0000-0000-00000D000000}">
      <text>
        <r>
          <rPr>
            <sz val="10"/>
            <rFont val="Calibri"/>
            <family val="2"/>
          </rPr>
          <t>Schätzung in %:
- Wie groß ist der Anteil an Produkten, bei denen dieser Sonderfall auftritt?</t>
        </r>
      </text>
    </comment>
    <comment ref="B23" authorId="1" shapeId="0" xr:uid="{B0BAE96E-A2F5-4FA0-8E76-D193F7649FCD}">
      <text>
        <r>
          <rPr>
            <sz val="9"/>
            <color indexed="81"/>
            <rFont val="Segoe UI"/>
            <family val="2"/>
          </rPr>
          <t xml:space="preserve">Die Sonderfälle führen zu verschiedenen Zeiten in Abteilung 2 (a, c) - Dataset 4
</t>
        </r>
      </text>
    </comment>
    <comment ref="B24" authorId="0" shapeId="0" xr:uid="{00000000-0006-0000-0000-00000E000000}">
      <text>
        <r>
          <rPr>
            <sz val="10"/>
            <rFont val="Calibri"/>
            <family val="2"/>
          </rPr>
          <t>Schätzung in %:
- Wie groß ist der Anteil an Produkten, bei denen dieser Sonderfall auftritt?</t>
        </r>
      </text>
    </comment>
    <comment ref="B25" authorId="0" shapeId="0" xr:uid="{00000000-0006-0000-0000-00000F000000}">
      <text>
        <r>
          <rPr>
            <sz val="10"/>
            <rFont val="Calibri"/>
            <family val="2"/>
          </rPr>
          <t>Schätzung in %:
- Wie groß ist der Anteil an Produkten, bei denen dieser Sonderfall auftritt?</t>
        </r>
      </text>
    </comment>
    <comment ref="B26" authorId="0" shapeId="0" xr:uid="{00000000-0006-0000-0000-000010000000}">
      <text>
        <r>
          <rPr>
            <sz val="10"/>
            <rFont val="Calibri"/>
            <family val="2"/>
          </rPr>
          <t>Schätzung in %:
- Wie groß ist der Anteil an Produkten, bei denen dieser Sonderfall auftritt?</t>
        </r>
      </text>
    </comment>
    <comment ref="B38" authorId="0" shapeId="0" xr:uid="{00000000-0006-0000-0000-000011000000}">
      <text>
        <r>
          <rPr>
            <sz val="10"/>
            <rFont val="Calibri"/>
            <family val="2"/>
          </rPr>
          <t>Durchschnittlicher Stundenlohn Abteilung 1</t>
        </r>
      </text>
    </comment>
    <comment ref="B39" authorId="0" shapeId="0" xr:uid="{00000000-0006-0000-0000-000012000000}">
      <text>
        <r>
          <rPr>
            <sz val="10"/>
            <rFont val="Calibri"/>
            <family val="2"/>
          </rPr>
          <t xml:space="preserve">Durchschnittlicher Stundenlohn Abteilung 2
</t>
        </r>
      </text>
    </comment>
    <comment ref="B40" authorId="0" shapeId="0" xr:uid="{00000000-0006-0000-0000-000013000000}">
      <text>
        <r>
          <rPr>
            <sz val="10"/>
            <rFont val="Calibri"/>
            <family val="2"/>
          </rPr>
          <t>Durchschnittlicher Stundenlohn
Abteilung 3</t>
        </r>
      </text>
    </comment>
    <comment ref="B41" authorId="0" shapeId="0" xr:uid="{00000000-0006-0000-0000-000014000000}">
      <text>
        <r>
          <rPr>
            <sz val="10"/>
            <rFont val="Calibri"/>
            <family val="2"/>
          </rPr>
          <t xml:space="preserve">Gemeinkostenzuschlag in %
</t>
        </r>
      </text>
    </comment>
    <comment ref="F50" authorId="1" shapeId="0" xr:uid="{EFE3AA48-B5C8-44C2-84DE-0165491A7AA5}">
      <text>
        <r>
          <rPr>
            <b/>
            <sz val="9"/>
            <color indexed="81"/>
            <rFont val="Segoe UI"/>
            <family val="2"/>
          </rPr>
          <t>bezieht sich auf Qualitätsprobleme (Sonderfälle) in Abteilung 1</t>
        </r>
      </text>
    </comment>
  </commentList>
</comments>
</file>

<file path=xl/sharedStrings.xml><?xml version="1.0" encoding="utf-8"?>
<sst xmlns="http://schemas.openxmlformats.org/spreadsheetml/2006/main" count="239" uniqueCount="150">
  <si>
    <t>Eingabe</t>
  </si>
  <si>
    <t>Output</t>
  </si>
  <si>
    <t>Bitte blau hinterlegte Felder ausfüllen</t>
  </si>
  <si>
    <t>Prognostizierte Daten basierend auf Eingabe und hinterlegter Datenbank</t>
  </si>
  <si>
    <t>PRODUKT</t>
  </si>
  <si>
    <t>Produkt 1</t>
  </si>
  <si>
    <t>Produkt 2</t>
  </si>
  <si>
    <t>Ökonomische KPIs</t>
  </si>
  <si>
    <t>REFURBISHMENT</t>
  </si>
  <si>
    <t>RECYCLING</t>
  </si>
  <si>
    <t>Typ</t>
  </si>
  <si>
    <t>ABTEILUNG</t>
  </si>
  <si>
    <t>Zeit</t>
  </si>
  <si>
    <t>Kosten</t>
  </si>
  <si>
    <t>Baujahr</t>
  </si>
  <si>
    <t>Ja</t>
  </si>
  <si>
    <r>
      <rPr>
        <b/>
        <sz val="11"/>
        <color rgb="FF000000"/>
        <rFont val="Calibri"/>
        <family val="2"/>
        <charset val="1"/>
      </rPr>
      <t xml:space="preserve">Gewicht </t>
    </r>
    <r>
      <rPr>
        <sz val="11"/>
        <color rgb="FF000000"/>
        <rFont val="Calibri"/>
        <family val="2"/>
        <charset val="1"/>
      </rPr>
      <t>[kg]</t>
    </r>
  </si>
  <si>
    <t>Stückzahl</t>
  </si>
  <si>
    <t>Gesamtkosten Personal</t>
  </si>
  <si>
    <t>ABHOLUNG/LIEFERUNG</t>
  </si>
  <si>
    <t>Hilfe (nachher verstecken)</t>
  </si>
  <si>
    <t>Selbstabholung</t>
  </si>
  <si>
    <t>TÄTIGKEIT</t>
  </si>
  <si>
    <t>Einfach</t>
  </si>
  <si>
    <t>komplex</t>
  </si>
  <si>
    <t>AUSLASTUNG</t>
  </si>
  <si>
    <t>Wegzeit</t>
  </si>
  <si>
    <t>Team Abholung/Lieferung</t>
  </si>
  <si>
    <t>Mittel</t>
  </si>
  <si>
    <t>einfach</t>
  </si>
  <si>
    <t>LAGERSTAND</t>
  </si>
  <si>
    <t>Non-Refurbished-Produkte</t>
  </si>
  <si>
    <t>Ökologische KPIs</t>
  </si>
  <si>
    <t>Refurbished-Produkte</t>
  </si>
  <si>
    <t>Durchschnittswert für 1 Stk.</t>
  </si>
  <si>
    <r>
      <rPr>
        <sz val="11"/>
        <rFont val="Calibri"/>
        <family val="2"/>
        <charset val="1"/>
      </rPr>
      <t>CO2eq Ersparnis [kg]</t>
    </r>
    <r>
      <rPr>
        <vertAlign val="superscript"/>
        <sz val="11"/>
        <rFont val="Calibri"/>
        <family val="2"/>
        <charset val="1"/>
      </rPr>
      <t>3</t>
    </r>
  </si>
  <si>
    <t>Personalinformationen: Durchschnittsstundensätze</t>
  </si>
  <si>
    <r>
      <rPr>
        <sz val="11"/>
        <rFont val="Calibri"/>
        <family val="2"/>
        <charset val="1"/>
      </rPr>
      <t>Wasserverbrauch Ersparnis [l]</t>
    </r>
    <r>
      <rPr>
        <vertAlign val="superscript"/>
        <sz val="11"/>
        <rFont val="Calibri"/>
        <family val="2"/>
        <charset val="1"/>
      </rPr>
      <t>3</t>
    </r>
  </si>
  <si>
    <t>Durchschnittswerte gesamte Lieferung</t>
  </si>
  <si>
    <r>
      <rPr>
        <sz val="11"/>
        <rFont val="Calibri"/>
        <family val="2"/>
        <charset val="1"/>
      </rPr>
      <t>Wasserverbrauch Ersparnis [l]</t>
    </r>
    <r>
      <rPr>
        <vertAlign val="superscript"/>
        <sz val="11"/>
        <rFont val="Calibri"/>
        <family val="2"/>
        <charset val="1"/>
      </rPr>
      <t xml:space="preserve">3 </t>
    </r>
  </si>
  <si>
    <t>Mindestlöhne lt. Kollektivvertrag Handel</t>
  </si>
  <si>
    <r>
      <rPr>
        <b/>
        <vertAlign val="superscript"/>
        <sz val="11"/>
        <color rgb="FF000000"/>
        <rFont val="Calibri"/>
        <family val="2"/>
        <charset val="1"/>
      </rPr>
      <t>1</t>
    </r>
    <r>
      <rPr>
        <b/>
        <sz val="11"/>
        <color rgb="FF000000"/>
        <rFont val="Calibri"/>
        <family val="2"/>
        <charset val="1"/>
      </rPr>
      <t xml:space="preserve"> Angestellte, E, Stufe 2</t>
    </r>
  </si>
  <si>
    <t>Allgemeine Infos</t>
  </si>
  <si>
    <t>https://www.wko.at/kollektivvertrag/gehaltstafeln-angestellte-handel-2025</t>
  </si>
  <si>
    <r>
      <rPr>
        <b/>
        <vertAlign val="superscript"/>
        <sz val="11"/>
        <color rgb="FF000000"/>
        <rFont val="Calibri"/>
        <family val="2"/>
        <charset val="1"/>
      </rPr>
      <t>2</t>
    </r>
    <r>
      <rPr>
        <b/>
        <sz val="11"/>
        <color rgb="FF000000"/>
        <rFont val="Calibri"/>
        <family val="2"/>
        <charset val="1"/>
      </rPr>
      <t xml:space="preserve"> Arbeiter, Betriebszugehörigheit b) bis zu 10 Jahre</t>
    </r>
  </si>
  <si>
    <t>https://www.wko.at/kollektivvertrag/lohntafeln-arbeiter-handel-2025</t>
  </si>
  <si>
    <t>Qualität</t>
  </si>
  <si>
    <t>Auslastung und
Lagerstand</t>
  </si>
  <si>
    <r>
      <rPr>
        <vertAlign val="superscript"/>
        <sz val="11"/>
        <color rgb="FF000000"/>
        <rFont val="Calibri"/>
        <family val="2"/>
        <charset val="1"/>
      </rPr>
      <t>3</t>
    </r>
    <r>
      <rPr>
        <sz val="11"/>
        <color rgb="FF000000"/>
        <rFont val="Calibri"/>
        <family val="2"/>
        <charset val="1"/>
      </rPr>
      <t>Datenquelle: Datenblätter zum “Product Carbon Footprint”, die von den Herstellern bereitgestellt werden. Annahme: Werte basieren auf dem 95-Perzentil kgCO2eq.</t>
    </r>
  </si>
  <si>
    <t>Median</t>
  </si>
  <si>
    <t>Mittelwert</t>
  </si>
  <si>
    <t>1 Person</t>
  </si>
  <si>
    <t>2 Personen</t>
  </si>
  <si>
    <t>3 Personen</t>
  </si>
  <si>
    <t>Produktart</t>
  </si>
  <si>
    <t>schwierig</t>
  </si>
  <si>
    <t>Hoch</t>
  </si>
  <si>
    <t>Nein</t>
  </si>
  <si>
    <t>Niedrig</t>
  </si>
  <si>
    <t>Intercept</t>
  </si>
  <si>
    <t>Coefficient</t>
  </si>
  <si>
    <t>Produktart 1</t>
  </si>
  <si>
    <t>Produktart 2</t>
  </si>
  <si>
    <t>Marke 1</t>
  </si>
  <si>
    <t>Marke 2</t>
  </si>
  <si>
    <t>Marke 3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</si>
  <si>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</si>
  <si>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</si>
  <si>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</si>
  <si>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</si>
  <si>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</si>
  <si>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</si>
  <si>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</si>
  <si>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</si>
  <si>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</si>
  <si>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Prozess x v1</t>
  </si>
  <si>
    <t>Prozess x v2 (Sonderfall 1)</t>
  </si>
  <si>
    <t>Abteilung 1b)</t>
  </si>
  <si>
    <t>komplex = Sonderfall 2</t>
  </si>
  <si>
    <t>Ja/ Nein Frage</t>
  </si>
  <si>
    <t>Anzahl Einheiten</t>
  </si>
  <si>
    <t>Personalbedarf  Prozess 1 - 2 [Anzahl Personen]</t>
  </si>
  <si>
    <t>Abteilung 1</t>
  </si>
  <si>
    <r>
      <t>Anteil Sonderfall 1</t>
    </r>
    <r>
      <rPr>
        <sz val="11"/>
        <color rgb="FF000000"/>
        <rFont val="Calibri"/>
        <family val="2"/>
        <charset val="1"/>
      </rPr>
      <t xml:space="preserve"> [%]</t>
    </r>
  </si>
  <si>
    <r>
      <t>Anteil Sonderfall 2</t>
    </r>
    <r>
      <rPr>
        <sz val="11"/>
        <color rgb="FF000000"/>
        <rFont val="Calibri"/>
        <family val="2"/>
        <charset val="1"/>
      </rPr>
      <t xml:space="preserve"> [%]</t>
    </r>
  </si>
  <si>
    <r>
      <t>Anteil Sonderfall 3</t>
    </r>
    <r>
      <rPr>
        <sz val="11"/>
        <color rgb="FF000000"/>
        <rFont val="Calibri"/>
        <family val="2"/>
        <charset val="1"/>
      </rPr>
      <t xml:space="preserve"> [%]</t>
    </r>
  </si>
  <si>
    <t>Abteilung 2</t>
  </si>
  <si>
    <r>
      <t xml:space="preserve">Anteil Sonderfall 4 </t>
    </r>
    <r>
      <rPr>
        <sz val="11"/>
        <color rgb="FF000000"/>
        <rFont val="Calibri"/>
        <family val="2"/>
        <charset val="1"/>
      </rPr>
      <t xml:space="preserve"> [%]</t>
    </r>
  </si>
  <si>
    <r>
      <t xml:space="preserve">Anteil Sonderfall 5 </t>
    </r>
    <r>
      <rPr>
        <sz val="11"/>
        <color rgb="FF000000"/>
        <rFont val="Calibri"/>
        <family val="2"/>
        <charset val="1"/>
      </rPr>
      <t>[%]</t>
    </r>
  </si>
  <si>
    <r>
      <t xml:space="preserve">Anteil Sonderfall 6 </t>
    </r>
    <r>
      <rPr>
        <sz val="11"/>
        <color rgb="FF000000"/>
        <rFont val="Calibri"/>
        <family val="2"/>
        <charset val="1"/>
      </rPr>
      <t>[%]</t>
    </r>
  </si>
  <si>
    <t>Team Abteilung 1</t>
  </si>
  <si>
    <t>Team Abteilung 2</t>
  </si>
  <si>
    <r>
      <t>Abteilung 1</t>
    </r>
    <r>
      <rPr>
        <b/>
        <vertAlign val="superscript"/>
        <sz val="11"/>
        <color rgb="FF000000"/>
        <rFont val="Calibri"/>
        <family val="2"/>
        <charset val="1"/>
      </rPr>
      <t>1</t>
    </r>
    <r>
      <rPr>
        <b/>
        <sz val="11"/>
        <color rgb="FF000000"/>
        <rFont val="Calibri"/>
        <family val="2"/>
        <charset val="1"/>
      </rPr>
      <t xml:space="preserve"> </t>
    </r>
  </si>
  <si>
    <r>
      <t>Abteilung 2</t>
    </r>
    <r>
      <rPr>
        <b/>
        <vertAlign val="superscript"/>
        <sz val="11"/>
        <color rgb="FF000000"/>
        <rFont val="Calibri"/>
        <family val="2"/>
        <charset val="1"/>
      </rPr>
      <t>2</t>
    </r>
  </si>
  <si>
    <r>
      <t>Abteilung 3</t>
    </r>
    <r>
      <rPr>
        <b/>
        <vertAlign val="superscript"/>
        <sz val="11"/>
        <color rgb="FF000000"/>
        <rFont val="Calibri"/>
        <family val="2"/>
        <charset val="1"/>
      </rPr>
      <t>2</t>
    </r>
  </si>
  <si>
    <t>Gemeinkostenzuschlag (Abteilung 4 [%]</t>
  </si>
  <si>
    <t>Abteilung 1 (b)</t>
  </si>
  <si>
    <t>Abteilung 2 (a, c)</t>
  </si>
  <si>
    <t>Abteilung 3 (a)</t>
  </si>
  <si>
    <t>Abteilung 4 (d)</t>
  </si>
  <si>
    <t>Abteilung a</t>
  </si>
  <si>
    <t>Abteilung b</t>
  </si>
  <si>
    <t>Abteilung c</t>
  </si>
  <si>
    <t>Abteilung d</t>
  </si>
  <si>
    <t>Prozess 1</t>
  </si>
  <si>
    <t>Prozess 2</t>
  </si>
  <si>
    <t>Prozess 3</t>
  </si>
  <si>
    <t>Prozess 4</t>
  </si>
  <si>
    <t>Prozess 5</t>
  </si>
  <si>
    <t>SUMME Abteilung a</t>
  </si>
  <si>
    <t>SUMME  Abteilung b</t>
  </si>
  <si>
    <t>SUMME Abteilung c</t>
  </si>
  <si>
    <t>SUMME  Abteilung d</t>
  </si>
  <si>
    <t>Prozess 6</t>
  </si>
  <si>
    <t>Prozess 7</t>
  </si>
  <si>
    <t>Prozess 8</t>
  </si>
  <si>
    <t>Prozess 9</t>
  </si>
  <si>
    <r>
      <t>(E)-Waste-Reduktion [kg]</t>
    </r>
    <r>
      <rPr>
        <vertAlign val="superscript"/>
        <sz val="11"/>
        <rFont val="Calibri"/>
        <family val="2"/>
        <charset val="1"/>
      </rPr>
      <t>3</t>
    </r>
  </si>
  <si>
    <t>Ja/Nein Frage</t>
  </si>
  <si>
    <t>Prozess x v2 (Art 1 + 2)</t>
  </si>
  <si>
    <t>Prozess x v1 (Art 1 + 2)</t>
  </si>
  <si>
    <t>Prozess 7 (c)</t>
  </si>
  <si>
    <t>Prozess 7 (c) Sonderfall</t>
  </si>
  <si>
    <t>Prozess Abteilung b Sonderfall 3</t>
  </si>
  <si>
    <t>Prozess 1 - 1</t>
  </si>
  <si>
    <t>Prozess 1 - 2</t>
  </si>
  <si>
    <t>Prozess 6 (c)</t>
  </si>
  <si>
    <t>komplex (Sonderfall 2)</t>
  </si>
  <si>
    <t>Prozess 1, 2/Abteilung a</t>
  </si>
  <si>
    <t>Prozess 1 - 1 (pro Einheit)</t>
  </si>
  <si>
    <t>Prozess 1 - 2 (pro Einheit)</t>
  </si>
  <si>
    <t>Abteilung a Prozess 3</t>
  </si>
  <si>
    <t>Abteilung a Prozess 4</t>
  </si>
  <si>
    <t>Abteilung a Prozess 5</t>
  </si>
  <si>
    <t>Unterprozess 1</t>
  </si>
  <si>
    <t>Unterprozess 2 Produktart 1</t>
  </si>
  <si>
    <t>Unterprozess 2 Produkart 2</t>
  </si>
  <si>
    <t>Abteilung 3 (c), Prozesse 6,7,8</t>
  </si>
  <si>
    <t>Art?</t>
  </si>
  <si>
    <t>Art 1</t>
  </si>
  <si>
    <t>Art 2 (Sonderfall 6)</t>
  </si>
  <si>
    <t>Prozess 8 (Sonderfall 4)</t>
  </si>
  <si>
    <t>Gesamt (ohne 8)</t>
  </si>
  <si>
    <t>schwierig = Sonderfall 5</t>
  </si>
  <si>
    <t>Prozess 7 Art 1</t>
  </si>
  <si>
    <t>Prozess 7 Art 2 (Sonderfall 6)</t>
  </si>
  <si>
    <t>Prozess 9 (Recycling)</t>
  </si>
  <si>
    <t>Sonderfall 3</t>
  </si>
  <si>
    <t>Prozess x v2</t>
  </si>
  <si>
    <t>Unterprozess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</si>
</sst>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h]:mm"/>
    <numFmt numFmtId="165" formatCode="_-&quot;€ &quot;* #,##0.00_-;&quot;-€ &quot;* #,##0.00_-;_-&quot;€ &quot;* \-??_-;_-@_-"/>
    <numFmt numFmtId="166" formatCode="_-* #,##0.00_-;\-* #,##0.00_-;_-* \-??_-;_-@_-"/>
    <numFmt numFmtId="167" formatCode="0\ %"/>
    <numFmt numFmtId="168" formatCode="hh:mm:ss;@"/>
    <numFmt numFmtId="169" formatCode="[$-F400]h:mm:ss\ AM/PM"/>
  </numFmts>
  <fonts count="3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b/>
      <i/>
      <sz val="11"/>
      <color theme="4"/>
      <name val="Calibri"/>
      <family val="2"/>
      <charset val="1"/>
    </font>
    <font>
      <b/>
      <i/>
      <sz val="11"/>
      <color theme="9" tint="-0.249977111117893"/>
      <name val="Calibri"/>
      <family val="2"/>
      <charset val="1"/>
    </font>
    <font>
      <b/>
      <i/>
      <sz val="9"/>
      <color theme="9" tint="-0.249977111117893"/>
      <name val="Calibri"/>
      <family val="2"/>
      <charset val="1"/>
    </font>
    <font>
      <b/>
      <sz val="11"/>
      <name val="Calibri"/>
      <family val="2"/>
      <charset val="1"/>
    </font>
    <font>
      <b/>
      <sz val="14"/>
      <color theme="9"/>
      <name val="Calibri"/>
      <family val="2"/>
      <charset val="1"/>
    </font>
    <font>
      <b/>
      <sz val="11"/>
      <color theme="9" tint="-0.249977111117893"/>
      <name val="Calibri"/>
      <family val="2"/>
      <charset val="1"/>
    </font>
    <font>
      <b/>
      <sz val="11"/>
      <color theme="5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color theme="0" tint="-0.34998626667073579"/>
      <name val="Calibri"/>
      <family val="2"/>
      <charset val="1"/>
    </font>
    <font>
      <sz val="11"/>
      <color theme="0" tint="-0.34998626667073579"/>
      <name val="Calibri"/>
      <family val="2"/>
      <charset val="1"/>
    </font>
    <font>
      <vertAlign val="superscript"/>
      <sz val="11"/>
      <name val="Calibri"/>
      <family val="2"/>
      <charset val="1"/>
    </font>
    <font>
      <b/>
      <sz val="11"/>
      <color theme="3"/>
      <name val="Calibri"/>
      <family val="2"/>
      <charset val="1"/>
    </font>
    <font>
      <b/>
      <vertAlign val="superscript"/>
      <sz val="11"/>
      <color rgb="FF000000"/>
      <name val="Calibri"/>
      <family val="2"/>
      <charset val="1"/>
    </font>
    <font>
      <sz val="11"/>
      <color theme="6"/>
      <name val="Calibri"/>
      <family val="2"/>
      <charset val="1"/>
    </font>
    <font>
      <b/>
      <sz val="11"/>
      <color rgb="FFC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  <font>
      <b/>
      <i/>
      <u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name val="Calibri"/>
      <family val="2"/>
    </font>
    <font>
      <b/>
      <sz val="11"/>
      <color theme="1"/>
      <name val="Calibri"/>
      <family val="2"/>
      <charset val="1"/>
    </font>
    <font>
      <sz val="11"/>
      <color rgb="FF9E9E9E"/>
      <name val="Calibri"/>
      <family val="2"/>
      <charset val="1"/>
    </font>
    <font>
      <sz val="11"/>
      <color theme="1"/>
      <name val="Aptos"/>
      <family val="2"/>
      <charset val="1"/>
    </font>
    <font>
      <sz val="11"/>
      <color rgb="FF000000"/>
      <name val="Calibri"/>
      <family val="2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</font>
    <font>
      <b/>
      <sz val="7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EDEDED"/>
      </patternFill>
    </fill>
    <fill>
      <patternFill patternType="solid">
        <fgColor theme="8" tint="0.79989013336588644"/>
        <bgColor rgb="FFEDEDED"/>
      </patternFill>
    </fill>
    <fill>
      <patternFill patternType="solid">
        <fgColor theme="9" tint="0.79989013336588644"/>
        <bgColor rgb="FFEDEDED"/>
      </patternFill>
    </fill>
    <fill>
      <patternFill patternType="solid">
        <fgColor theme="6" tint="0.79989013336588644"/>
        <bgColor rgb="FFDEEBF7"/>
      </patternFill>
    </fill>
    <fill>
      <patternFill patternType="solid">
        <fgColor theme="6" tint="0.79998168889431442"/>
        <bgColor rgb="FFF2F2F2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9">
    <xf numFmtId="0" fontId="0" fillId="0" borderId="0"/>
    <xf numFmtId="165" fontId="28" fillId="0" borderId="0" applyBorder="0" applyProtection="0"/>
    <xf numFmtId="167" fontId="28" fillId="0" borderId="0" applyBorder="0" applyProtection="0"/>
    <xf numFmtId="0" fontId="28" fillId="0" borderId="0" applyBorder="0" applyProtection="0">
      <alignment horizontal="left"/>
    </xf>
    <xf numFmtId="0" fontId="28" fillId="0" borderId="0" applyBorder="0" applyProtection="0"/>
    <xf numFmtId="0" fontId="28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28" fillId="0" borderId="0" applyBorder="0" applyProtection="0"/>
  </cellStyleXfs>
  <cellXfs count="149">
    <xf numFmtId="0" fontId="0" fillId="0" borderId="0" xfId="0"/>
    <xf numFmtId="0" fontId="7" fillId="5" borderId="6" xfId="0" applyFont="1" applyFill="1" applyBorder="1" applyAlignment="1">
      <alignment horizontal="left"/>
    </xf>
    <xf numFmtId="0" fontId="0" fillId="3" borderId="7" xfId="0" applyFill="1" applyBorder="1" applyAlignment="1" applyProtection="1">
      <alignment horizontal="center"/>
      <protection locked="0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5" borderId="3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0" fillId="3" borderId="0" xfId="0" applyFill="1" applyAlignment="1" applyProtection="1">
      <alignment horizontal="center"/>
      <protection locked="0"/>
    </xf>
    <xf numFmtId="0" fontId="7" fillId="5" borderId="0" xfId="0" applyFont="1" applyFill="1" applyAlignment="1">
      <alignment horizontal="left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0" fillId="2" borderId="6" xfId="0" applyFill="1" applyBorder="1"/>
    <xf numFmtId="0" fontId="0" fillId="2" borderId="0" xfId="0" applyFill="1" applyAlignment="1">
      <alignment horizontal="left"/>
    </xf>
    <xf numFmtId="164" fontId="0" fillId="2" borderId="6" xfId="0" applyNumberFormat="1" applyFill="1" applyBorder="1"/>
    <xf numFmtId="165" fontId="28" fillId="2" borderId="7" xfId="1" applyFill="1" applyBorder="1" applyProtection="1"/>
    <xf numFmtId="4" fontId="0" fillId="2" borderId="7" xfId="0" applyNumberFormat="1" applyFill="1" applyBorder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6" xfId="0" applyBorder="1"/>
    <xf numFmtId="0" fontId="0" fillId="2" borderId="7" xfId="0" applyFill="1" applyBorder="1"/>
    <xf numFmtId="0" fontId="1" fillId="4" borderId="0" xfId="0" applyFont="1" applyFill="1" applyAlignment="1">
      <alignment horizontal="left"/>
    </xf>
    <xf numFmtId="164" fontId="0" fillId="4" borderId="6" xfId="0" applyNumberFormat="1" applyFill="1" applyBorder="1"/>
    <xf numFmtId="165" fontId="28" fillId="4" borderId="7" xfId="1" applyFill="1" applyBorder="1" applyProtection="1"/>
    <xf numFmtId="0" fontId="7" fillId="5" borderId="6" xfId="0" applyFont="1" applyFill="1" applyBorder="1"/>
    <xf numFmtId="0" fontId="0" fillId="5" borderId="0" xfId="0" applyFill="1"/>
    <xf numFmtId="0" fontId="0" fillId="5" borderId="7" xfId="0" applyFill="1" applyBorder="1"/>
    <xf numFmtId="0" fontId="9" fillId="2" borderId="6" xfId="0" applyFont="1" applyFill="1" applyBorder="1"/>
    <xf numFmtId="0" fontId="10" fillId="0" borderId="0" xfId="0" applyFont="1"/>
    <xf numFmtId="46" fontId="0" fillId="0" borderId="0" xfId="0" applyNumberFormat="1"/>
    <xf numFmtId="0" fontId="7" fillId="2" borderId="6" xfId="0" applyFont="1" applyFill="1" applyBorder="1"/>
    <xf numFmtId="0" fontId="11" fillId="2" borderId="0" xfId="0" applyFont="1" applyFill="1" applyAlignment="1">
      <alignment horizontal="center"/>
    </xf>
    <xf numFmtId="0" fontId="1" fillId="0" borderId="0" xfId="0" applyFont="1"/>
    <xf numFmtId="0" fontId="12" fillId="2" borderId="0" xfId="0" applyFont="1" applyFill="1"/>
    <xf numFmtId="0" fontId="7" fillId="2" borderId="6" xfId="0" applyFont="1" applyFill="1" applyBorder="1" applyAlignment="1">
      <alignment horizontal="left"/>
    </xf>
    <xf numFmtId="164" fontId="1" fillId="4" borderId="6" xfId="0" applyNumberFormat="1" applyFont="1" applyFill="1" applyBorder="1"/>
    <xf numFmtId="165" fontId="1" fillId="4" borderId="7" xfId="0" applyNumberFormat="1" applyFont="1" applyFill="1" applyBorder="1"/>
    <xf numFmtId="167" fontId="28" fillId="3" borderId="0" xfId="2" applyFill="1" applyBorder="1" applyAlignment="1" applyProtection="1">
      <alignment horizontal="center"/>
      <protection locked="0"/>
    </xf>
    <xf numFmtId="167" fontId="28" fillId="3" borderId="7" xfId="2" applyFill="1" applyBorder="1" applyAlignment="1" applyProtection="1">
      <alignment horizontal="center"/>
      <protection locked="0"/>
    </xf>
    <xf numFmtId="0" fontId="7" fillId="2" borderId="6" xfId="0" applyFont="1" applyFill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left"/>
    </xf>
    <xf numFmtId="164" fontId="1" fillId="2" borderId="6" xfId="0" applyNumberFormat="1" applyFont="1" applyFill="1" applyBorder="1"/>
    <xf numFmtId="165" fontId="1" fillId="2" borderId="7" xfId="0" applyNumberFormat="1" applyFont="1" applyFill="1" applyBorder="1"/>
    <xf numFmtId="21" fontId="0" fillId="2" borderId="0" xfId="0" applyNumberFormat="1" applyFill="1"/>
    <xf numFmtId="165" fontId="1" fillId="4" borderId="7" xfId="1" applyFont="1" applyFill="1" applyBorder="1" applyProtection="1"/>
    <xf numFmtId="21" fontId="1" fillId="2" borderId="0" xfId="0" applyNumberFormat="1" applyFont="1" applyFill="1"/>
    <xf numFmtId="0" fontId="1" fillId="0" borderId="6" xfId="0" applyFont="1" applyBorder="1"/>
    <xf numFmtId="168" fontId="0" fillId="2" borderId="6" xfId="0" applyNumberFormat="1" applyFill="1" applyBorder="1"/>
    <xf numFmtId="4" fontId="0" fillId="2" borderId="0" xfId="0" applyNumberFormat="1" applyFill="1"/>
    <xf numFmtId="165" fontId="0" fillId="2" borderId="7" xfId="0" applyNumberFormat="1" applyFill="1" applyBorder="1"/>
    <xf numFmtId="0" fontId="9" fillId="2" borderId="0" xfId="0" applyFont="1" applyFill="1"/>
    <xf numFmtId="21" fontId="13" fillId="2" borderId="6" xfId="0" applyNumberFormat="1" applyFont="1" applyFill="1" applyBorder="1"/>
    <xf numFmtId="165" fontId="13" fillId="2" borderId="7" xfId="0" applyNumberFormat="1" applyFont="1" applyFill="1" applyBorder="1"/>
    <xf numFmtId="21" fontId="1" fillId="2" borderId="6" xfId="0" applyNumberFormat="1" applyFont="1" applyFill="1" applyBorder="1"/>
    <xf numFmtId="21" fontId="1" fillId="2" borderId="7" xfId="0" applyNumberFormat="1" applyFont="1" applyFill="1" applyBorder="1"/>
    <xf numFmtId="0" fontId="0" fillId="0" borderId="7" xfId="0" applyBorder="1"/>
    <xf numFmtId="0" fontId="13" fillId="2" borderId="0" xfId="0" applyFont="1" applyFill="1" applyAlignment="1">
      <alignment horizontal="center"/>
    </xf>
    <xf numFmtId="0" fontId="0" fillId="2" borderId="9" xfId="0" applyFill="1" applyBorder="1" applyAlignment="1">
      <alignment horizontal="left"/>
    </xf>
    <xf numFmtId="0" fontId="0" fillId="2" borderId="8" xfId="0" applyFill="1" applyBorder="1"/>
    <xf numFmtId="0" fontId="0" fillId="2" borderId="10" xfId="0" applyFill="1" applyBorder="1"/>
    <xf numFmtId="0" fontId="13" fillId="2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4" fillId="2" borderId="8" xfId="0" applyFont="1" applyFill="1" applyBorder="1" applyAlignment="1">
      <alignment horizontal="left"/>
    </xf>
    <xf numFmtId="0" fontId="15" fillId="2" borderId="9" xfId="0" applyFont="1" applyFill="1" applyBorder="1" applyAlignment="1">
      <alignment horizontal="center"/>
    </xf>
    <xf numFmtId="0" fontId="12" fillId="2" borderId="0" xfId="0" applyFont="1" applyFill="1" applyAlignment="1">
      <alignment horizontal="left"/>
    </xf>
    <xf numFmtId="3" fontId="0" fillId="4" borderId="0" xfId="0" applyNumberFormat="1" applyFill="1" applyAlignment="1">
      <alignment horizontal="right"/>
    </xf>
    <xf numFmtId="3" fontId="0" fillId="4" borderId="7" xfId="0" applyNumberFormat="1" applyFill="1" applyBorder="1" applyAlignment="1">
      <alignment horizontal="right"/>
    </xf>
    <xf numFmtId="0" fontId="17" fillId="2" borderId="3" xfId="0" applyFont="1" applyFill="1" applyBorder="1"/>
    <xf numFmtId="0" fontId="0" fillId="0" borderId="4" xfId="0" applyBorder="1"/>
    <xf numFmtId="0" fontId="0" fillId="2" borderId="5" xfId="0" applyFill="1" applyBorder="1"/>
    <xf numFmtId="3" fontId="0" fillId="4" borderId="0" xfId="0" applyNumberFormat="1" applyFill="1"/>
    <xf numFmtId="3" fontId="0" fillId="4" borderId="7" xfId="0" applyNumberFormat="1" applyFill="1" applyBorder="1"/>
    <xf numFmtId="165" fontId="28" fillId="3" borderId="0" xfId="1" applyFill="1" applyBorder="1" applyProtection="1"/>
    <xf numFmtId="4" fontId="0" fillId="4" borderId="0" xfId="0" applyNumberFormat="1" applyFill="1"/>
    <xf numFmtId="4" fontId="0" fillId="4" borderId="7" xfId="0" applyNumberFormat="1" applyFill="1" applyBorder="1"/>
    <xf numFmtId="0" fontId="7" fillId="2" borderId="0" xfId="0" applyFont="1" applyFill="1" applyAlignment="1">
      <alignment horizontal="right"/>
    </xf>
    <xf numFmtId="3" fontId="0" fillId="2" borderId="0" xfId="0" applyNumberFormat="1" applyFill="1"/>
    <xf numFmtId="3" fontId="0" fillId="5" borderId="0" xfId="0" applyNumberFormat="1" applyFill="1"/>
    <xf numFmtId="0" fontId="0" fillId="2" borderId="0" xfId="0" applyFill="1" applyAlignment="1">
      <alignment horizontal="right"/>
    </xf>
    <xf numFmtId="0" fontId="1" fillId="2" borderId="8" xfId="0" applyFont="1" applyFill="1" applyBorder="1" applyAlignment="1">
      <alignment horizontal="left"/>
    </xf>
    <xf numFmtId="167" fontId="28" fillId="3" borderId="9" xfId="2" applyFill="1" applyBorder="1" applyAlignment="1" applyProtection="1">
      <alignment horizontal="center"/>
    </xf>
    <xf numFmtId="0" fontId="0" fillId="4" borderId="7" xfId="0" applyFill="1" applyBorder="1"/>
    <xf numFmtId="0" fontId="12" fillId="2" borderId="9" xfId="0" applyFont="1" applyFill="1" applyBorder="1" applyAlignment="1">
      <alignment horizontal="left"/>
    </xf>
    <xf numFmtId="4" fontId="0" fillId="4" borderId="9" xfId="0" applyNumberFormat="1" applyFill="1" applyBorder="1"/>
    <xf numFmtId="4" fontId="0" fillId="4" borderId="10" xfId="0" applyNumberFormat="1" applyFill="1" applyBorder="1"/>
    <xf numFmtId="0" fontId="0" fillId="2" borderId="0" xfId="0" applyFill="1" applyAlignment="1">
      <alignment vertical="center"/>
    </xf>
    <xf numFmtId="0" fontId="18" fillId="2" borderId="0" xfId="0" applyFont="1" applyFill="1" applyAlignment="1">
      <alignment horizontal="left"/>
    </xf>
    <xf numFmtId="0" fontId="0" fillId="2" borderId="4" xfId="0" applyFill="1" applyBorder="1"/>
    <xf numFmtId="0" fontId="19" fillId="2" borderId="0" xfId="0" applyFont="1" applyFill="1"/>
    <xf numFmtId="0" fontId="1" fillId="5" borderId="6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0" fillId="2" borderId="9" xfId="0" applyFill="1" applyBorder="1"/>
    <xf numFmtId="0" fontId="22" fillId="2" borderId="0" xfId="0" applyFont="1" applyFill="1" applyAlignment="1">
      <alignment horizontal="left" vertical="center" indent="1"/>
    </xf>
    <xf numFmtId="0" fontId="23" fillId="2" borderId="0" xfId="0" applyFont="1" applyFill="1" applyAlignment="1">
      <alignment horizontal="left" vertical="center" indent="5"/>
    </xf>
    <xf numFmtId="0" fontId="25" fillId="3" borderId="0" xfId="0" applyFont="1" applyFill="1"/>
    <xf numFmtId="0" fontId="25" fillId="0" borderId="0" xfId="0" applyFont="1"/>
    <xf numFmtId="0" fontId="26" fillId="0" borderId="11" xfId="0" applyFont="1" applyBorder="1"/>
    <xf numFmtId="0" fontId="7" fillId="0" borderId="11" xfId="0" applyFont="1" applyBorder="1"/>
    <xf numFmtId="0" fontId="1" fillId="3" borderId="0" xfId="0" applyFont="1" applyFill="1"/>
    <xf numFmtId="21" fontId="12" fillId="3" borderId="11" xfId="8" applyNumberFormat="1" applyFont="1" applyFill="1" applyBorder="1" applyProtection="1"/>
    <xf numFmtId="0" fontId="1" fillId="3" borderId="11" xfId="0" applyFont="1" applyFill="1" applyBorder="1"/>
    <xf numFmtId="0" fontId="0" fillId="0" borderId="11" xfId="0" applyBorder="1"/>
    <xf numFmtId="21" fontId="26" fillId="0" borderId="11" xfId="8" applyNumberFormat="1" applyFont="1" applyBorder="1" applyProtection="1"/>
    <xf numFmtId="21" fontId="7" fillId="3" borderId="11" xfId="0" applyNumberFormat="1" applyFont="1" applyFill="1" applyBorder="1"/>
    <xf numFmtId="21" fontId="26" fillId="0" borderId="0" xfId="8" applyNumberFormat="1" applyFont="1" applyBorder="1" applyProtection="1"/>
    <xf numFmtId="21" fontId="7" fillId="0" borderId="0" xfId="0" applyNumberFormat="1" applyFont="1"/>
    <xf numFmtId="21" fontId="26" fillId="0" borderId="0" xfId="0" applyNumberFormat="1" applyFont="1"/>
    <xf numFmtId="0" fontId="7" fillId="3" borderId="11" xfId="0" applyFont="1" applyFill="1" applyBorder="1"/>
    <xf numFmtId="21" fontId="7" fillId="3" borderId="11" xfId="8" applyNumberFormat="1" applyFont="1" applyFill="1" applyBorder="1" applyProtection="1"/>
    <xf numFmtId="0" fontId="7" fillId="0" borderId="0" xfId="0" applyFont="1"/>
    <xf numFmtId="21" fontId="7" fillId="0" borderId="0" xfId="8" applyNumberFormat="1" applyFont="1" applyBorder="1" applyProtection="1"/>
    <xf numFmtId="21" fontId="0" fillId="0" borderId="0" xfId="0" applyNumberFormat="1"/>
    <xf numFmtId="21" fontId="0" fillId="3" borderId="0" xfId="0" applyNumberFormat="1" applyFill="1"/>
    <xf numFmtId="169" fontId="0" fillId="0" borderId="0" xfId="0" applyNumberFormat="1"/>
    <xf numFmtId="169" fontId="0" fillId="3" borderId="0" xfId="0" applyNumberFormat="1" applyFill="1"/>
    <xf numFmtId="21" fontId="27" fillId="3" borderId="0" xfId="0" applyNumberFormat="1" applyFont="1" applyFill="1"/>
    <xf numFmtId="21" fontId="26" fillId="0" borderId="11" xfId="0" applyNumberFormat="1" applyFont="1" applyBorder="1"/>
    <xf numFmtId="21" fontId="26" fillId="3" borderId="11" xfId="8" applyNumberFormat="1" applyFont="1" applyFill="1" applyBorder="1" applyProtection="1"/>
    <xf numFmtId="0" fontId="28" fillId="0" borderId="12" xfId="3" applyBorder="1" applyProtection="1">
      <alignment horizontal="left"/>
    </xf>
    <xf numFmtId="21" fontId="28" fillId="3" borderId="13" xfId="8" applyNumberFormat="1" applyFill="1" applyBorder="1" applyProtection="1"/>
    <xf numFmtId="0" fontId="0" fillId="3" borderId="0" xfId="0" applyFill="1"/>
    <xf numFmtId="0" fontId="34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0" fillId="3" borderId="7" xfId="0" applyFill="1" applyBorder="1" applyAlignment="1" applyProtection="1">
      <alignment horizontal="center"/>
      <protection locked="0"/>
    </xf>
    <xf numFmtId="0" fontId="7" fillId="5" borderId="6" xfId="0" applyFont="1" applyFill="1" applyBorder="1" applyAlignment="1">
      <alignment horizontal="left"/>
    </xf>
    <xf numFmtId="0" fontId="0" fillId="3" borderId="7" xfId="0" applyFill="1" applyBorder="1" applyAlignment="1">
      <alignment horizontal="center"/>
    </xf>
    <xf numFmtId="0" fontId="31" fillId="6" borderId="6" xfId="0" applyFont="1" applyFill="1" applyBorder="1" applyAlignment="1">
      <alignment horizontal="center" vertical="center" textRotation="90" wrapText="1"/>
    </xf>
    <xf numFmtId="0" fontId="32" fillId="6" borderId="6" xfId="0" applyFont="1" applyFill="1" applyBorder="1" applyAlignment="1">
      <alignment horizontal="center" textRotation="90"/>
    </xf>
    <xf numFmtId="0" fontId="33" fillId="6" borderId="6" xfId="0" applyFont="1" applyFill="1" applyBorder="1" applyAlignment="1">
      <alignment horizontal="center" vertical="center" textRotation="90" wrapText="1"/>
    </xf>
    <xf numFmtId="0" fontId="32" fillId="6" borderId="6" xfId="0" applyFont="1" applyFill="1" applyBorder="1" applyAlignment="1">
      <alignment horizontal="center" vertical="center" textRotation="90"/>
    </xf>
    <xf numFmtId="0" fontId="32" fillId="6" borderId="8" xfId="0" applyFont="1" applyFill="1" applyBorder="1" applyAlignment="1">
      <alignment horizontal="center" vertical="center" textRotation="90"/>
    </xf>
    <xf numFmtId="0" fontId="8" fillId="2" borderId="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left" vertical="top" wrapText="1"/>
    </xf>
    <xf numFmtId="0" fontId="1" fillId="5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textRotation="90" wrapText="1"/>
    </xf>
    <xf numFmtId="0" fontId="20" fillId="2" borderId="7" xfId="0" applyFont="1" applyFill="1" applyBorder="1" applyAlignment="1">
      <alignment horizontal="center" wrapText="1"/>
    </xf>
  </cellXfs>
  <cellStyles count="9">
    <cellStyle name="Pivot Table Category" xfId="3" xr:uid="{00000000-0005-0000-0000-000006000000}"/>
    <cellStyle name="Pivot Table Corner" xfId="4" xr:uid="{00000000-0005-0000-0000-000007000000}"/>
    <cellStyle name="Pivot Table Field" xfId="5" xr:uid="{00000000-0005-0000-0000-000008000000}"/>
    <cellStyle name="Pivot Table Result" xfId="6" xr:uid="{00000000-0005-0000-0000-000009000000}"/>
    <cellStyle name="Pivot Table Title" xfId="7" xr:uid="{00000000-0005-0000-0000-00000A000000}"/>
    <cellStyle name="Pivot Table Value" xfId="8" xr:uid="{00000000-0005-0000-0000-00000B000000}"/>
    <cellStyle name="Prozent" xfId="2" builtinId="5"/>
    <cellStyle name="Standard" xfId="0" builtinId="0"/>
    <cellStyle name="Währung" xfId="1" builtinId="4"/>
  </cellStyles>
  <dxfs count="2"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548235"/>
      <rgbColor rgb="FF800080"/>
      <rgbColor rgb="FF008080"/>
      <rgbColor rgb="FFA6A6A6"/>
      <rgbColor rgb="FF808080"/>
      <rgbColor rgb="FFA5A5A5"/>
      <rgbColor rgb="FF993366"/>
      <rgbColor rgb="FFEDEDED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44546A"/>
      <rgbColor rgb="FF9E9E9E"/>
      <rgbColor rgb="FF003366"/>
      <rgbColor rgb="FF70AD4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topLeftCell="A40" zoomScale="51" zoomScaleNormal="78" workbookViewId="0">
      <selection activeCell="G19" sqref="G19"/>
    </sheetView>
  </sheetViews>
  <sheetFormatPr baseColWidth="10" defaultColWidth="9.08984375" defaultRowHeight="15" customHeight="1" x14ac:dyDescent="0.35"/>
  <cols>
    <col min="1" max="1" width="9.08984375" style="3"/>
    <col min="2" max="2" width="43.7265625" customWidth="1"/>
    <col min="3" max="3" width="17.453125" customWidth="1"/>
    <col min="4" max="4" width="14" customWidth="1"/>
    <col min="5" max="6" width="12.1796875" style="3" customWidth="1"/>
    <col min="7" max="7" width="31.1796875" customWidth="1"/>
    <col min="8" max="8" width="17.7265625" customWidth="1"/>
    <col min="9" max="9" width="17.453125" customWidth="1"/>
    <col min="10" max="10" width="14.7265625" customWidth="1"/>
    <col min="11" max="11" width="16.54296875" customWidth="1"/>
    <col min="12" max="12" width="6" style="3" customWidth="1"/>
    <col min="13" max="13" width="0" style="3" hidden="1" customWidth="1"/>
    <col min="14" max="14" width="29.81640625" hidden="1" customWidth="1"/>
    <col min="15" max="15" width="38" hidden="1" customWidth="1"/>
    <col min="16" max="16" width="12.81640625" hidden="1" customWidth="1"/>
  </cols>
  <sheetData>
    <row r="1" spans="2:15" ht="21" x14ac:dyDescent="0.5">
      <c r="B1" s="127" t="s">
        <v>0</v>
      </c>
      <c r="C1" s="127"/>
      <c r="D1" s="127"/>
      <c r="F1" s="128" t="s">
        <v>1</v>
      </c>
      <c r="G1" s="128"/>
      <c r="H1" s="128"/>
      <c r="I1" s="128"/>
      <c r="J1" s="128"/>
      <c r="K1" s="128"/>
      <c r="L1" s="4"/>
    </row>
    <row r="2" spans="2:15" ht="14.5" x14ac:dyDescent="0.35">
      <c r="B2" s="129" t="s">
        <v>2</v>
      </c>
      <c r="C2" s="129"/>
      <c r="D2" s="129"/>
      <c r="F2" s="130" t="s">
        <v>3</v>
      </c>
      <c r="G2" s="130"/>
      <c r="H2" s="130"/>
      <c r="I2" s="130"/>
      <c r="J2" s="130"/>
      <c r="K2" s="130"/>
      <c r="L2" s="5"/>
    </row>
    <row r="3" spans="2:15" ht="14.5" x14ac:dyDescent="0.35">
      <c r="B3" s="129"/>
      <c r="C3" s="129"/>
      <c r="D3" s="129"/>
      <c r="F3" s="130"/>
      <c r="G3" s="130"/>
      <c r="H3" s="130"/>
      <c r="I3" s="130"/>
      <c r="J3" s="130"/>
      <c r="K3" s="130"/>
      <c r="L3" s="5"/>
    </row>
    <row r="4" spans="2:15" ht="18.5" x14ac:dyDescent="0.45">
      <c r="B4" s="6" t="s">
        <v>4</v>
      </c>
      <c r="C4" s="7" t="s">
        <v>5</v>
      </c>
      <c r="D4" s="8" t="s">
        <v>6</v>
      </c>
      <c r="F4" s="131" t="s">
        <v>7</v>
      </c>
      <c r="G4" s="131"/>
      <c r="H4" s="131" t="s">
        <v>8</v>
      </c>
      <c r="I4" s="131"/>
      <c r="J4" s="131" t="s">
        <v>9</v>
      </c>
      <c r="K4" s="131"/>
      <c r="L4" s="5"/>
    </row>
    <row r="5" spans="2:15" ht="14.5" x14ac:dyDescent="0.35">
      <c r="B5" s="9" t="s">
        <v>10</v>
      </c>
      <c r="C5" s="10" t="s">
        <v>62</v>
      </c>
      <c r="D5" s="2" t="s">
        <v>62</v>
      </c>
      <c r="F5" s="1" t="s">
        <v>11</v>
      </c>
      <c r="G5" s="11"/>
      <c r="H5" s="12" t="s">
        <v>12</v>
      </c>
      <c r="I5" s="13" t="s">
        <v>13</v>
      </c>
      <c r="J5" s="12" t="s">
        <v>12</v>
      </c>
      <c r="K5" s="13" t="s">
        <v>13</v>
      </c>
      <c r="L5" s="5"/>
    </row>
    <row r="6" spans="2:15" ht="14.5" x14ac:dyDescent="0.35">
      <c r="B6" s="9" t="s">
        <v>14</v>
      </c>
      <c r="C6" s="10">
        <v>2019</v>
      </c>
      <c r="D6" s="2">
        <v>2023</v>
      </c>
      <c r="F6" s="14"/>
      <c r="G6" s="15" t="s">
        <v>96</v>
      </c>
      <c r="H6" s="16">
        <f>H21</f>
        <v>0</v>
      </c>
      <c r="I6" s="17">
        <f>I21</f>
        <v>0</v>
      </c>
      <c r="J6" s="14"/>
      <c r="K6" s="18"/>
      <c r="L6" s="5"/>
    </row>
    <row r="7" spans="2:15" ht="14.5" x14ac:dyDescent="0.35">
      <c r="B7" s="9" t="s">
        <v>79</v>
      </c>
      <c r="C7" s="10" t="s">
        <v>15</v>
      </c>
      <c r="D7" s="2" t="s">
        <v>15</v>
      </c>
      <c r="F7" s="14"/>
      <c r="G7" s="15" t="s">
        <v>97</v>
      </c>
      <c r="H7" s="16">
        <f>H16+H17+H24+H25+H26</f>
        <v>0</v>
      </c>
      <c r="I7" s="17">
        <f>I16+I17+I24+I25+I26</f>
        <v>0</v>
      </c>
      <c r="J7" s="14"/>
      <c r="K7" s="17"/>
      <c r="L7" s="5"/>
    </row>
    <row r="8" spans="2:15" ht="14.5" x14ac:dyDescent="0.35">
      <c r="B8" s="9" t="s">
        <v>16</v>
      </c>
      <c r="C8" s="10">
        <v>0</v>
      </c>
      <c r="D8" s="2">
        <v>0</v>
      </c>
      <c r="F8" s="14"/>
      <c r="G8" s="19" t="s">
        <v>98</v>
      </c>
      <c r="H8" s="16">
        <f>H13+H14+H15</f>
        <v>0</v>
      </c>
      <c r="I8" s="17">
        <f>I13+I14+I15</f>
        <v>0</v>
      </c>
      <c r="J8" s="16">
        <f>J13+J14+J15+J27</f>
        <v>0</v>
      </c>
      <c r="K8" s="17">
        <f>SUM(K13:K27)</f>
        <v>0</v>
      </c>
      <c r="L8" s="5"/>
      <c r="O8" s="20"/>
    </row>
    <row r="9" spans="2:15" ht="14.5" x14ac:dyDescent="0.35">
      <c r="B9" s="9" t="s">
        <v>17</v>
      </c>
      <c r="C9" s="10">
        <v>0</v>
      </c>
      <c r="D9" s="2">
        <v>0</v>
      </c>
      <c r="F9" s="14"/>
      <c r="G9" s="15" t="s">
        <v>99</v>
      </c>
      <c r="H9" s="16">
        <f>SUM(H6:H8)*C41</f>
        <v>0</v>
      </c>
      <c r="I9" s="17">
        <f>SUM(I6:I8)*(C41)</f>
        <v>0</v>
      </c>
      <c r="J9" s="16">
        <f>SUM(J6:J8)*(C41)</f>
        <v>0</v>
      </c>
      <c r="K9" s="17">
        <f>SUM(K6:K8)*(C41)</f>
        <v>0</v>
      </c>
      <c r="L9" s="5"/>
    </row>
    <row r="10" spans="2:15" ht="14.5" x14ac:dyDescent="0.35">
      <c r="B10" s="21"/>
      <c r="C10" s="3"/>
      <c r="D10" s="22"/>
      <c r="F10" s="14"/>
      <c r="G10" s="23" t="s">
        <v>18</v>
      </c>
      <c r="H10" s="24">
        <f>SUM(H6:H9)</f>
        <v>0</v>
      </c>
      <c r="I10" s="25">
        <f>SUM(I6:I9)</f>
        <v>0</v>
      </c>
      <c r="J10" s="24">
        <f>SUM(J6:J9)</f>
        <v>0</v>
      </c>
      <c r="K10" s="25">
        <f>SUM(K6:K9)</f>
        <v>0</v>
      </c>
      <c r="L10" s="5"/>
    </row>
    <row r="11" spans="2:15" ht="14.5" x14ac:dyDescent="0.35">
      <c r="B11" s="26" t="s">
        <v>19</v>
      </c>
      <c r="C11" s="27"/>
      <c r="D11" s="28"/>
      <c r="F11" s="29"/>
      <c r="H11" s="14"/>
      <c r="I11" s="22"/>
      <c r="J11" s="14"/>
      <c r="K11" s="22"/>
      <c r="N11" s="30" t="s">
        <v>20</v>
      </c>
      <c r="O11" s="31"/>
    </row>
    <row r="12" spans="2:15" ht="14.5" x14ac:dyDescent="0.35">
      <c r="B12" s="32" t="s">
        <v>21</v>
      </c>
      <c r="C12" s="132" t="s">
        <v>57</v>
      </c>
      <c r="D12" s="132"/>
      <c r="E12" s="33"/>
      <c r="F12" s="133" t="s">
        <v>22</v>
      </c>
      <c r="G12" s="133"/>
      <c r="H12" s="12"/>
      <c r="I12" s="13"/>
      <c r="J12" s="12"/>
      <c r="K12" s="13"/>
      <c r="N12" s="34" t="s">
        <v>23</v>
      </c>
      <c r="O12" s="31"/>
    </row>
    <row r="13" spans="2:15" ht="15" customHeight="1" x14ac:dyDescent="0.35">
      <c r="B13" s="9" t="str">
        <f>IF(C12="Ja","Erwartete Wegzeit (Hin- und Retour) [Stunden]","")</f>
        <v/>
      </c>
      <c r="C13" s="134">
        <v>0</v>
      </c>
      <c r="D13" s="134"/>
      <c r="E13" s="33"/>
      <c r="F13" s="135" t="s">
        <v>100</v>
      </c>
      <c r="G13" s="15" t="s">
        <v>104</v>
      </c>
      <c r="H13" s="16">
        <f>IF(C12="Nein",O26,O26+O27+O28)</f>
        <v>0</v>
      </c>
      <c r="I13" s="17">
        <f>H13*$C$40*24</f>
        <v>0</v>
      </c>
      <c r="J13" s="16">
        <f t="shared" ref="J13:K15" si="0">H13</f>
        <v>0</v>
      </c>
      <c r="K13" s="17">
        <f t="shared" si="0"/>
        <v>0</v>
      </c>
      <c r="N13" t="s">
        <v>119</v>
      </c>
      <c r="O13" s="31">
        <f>VLOOKUP(D5,'Lookup_Dataset 1'!A5:F6,6)*D9*D19*(1-C20)+VLOOKUP(C5,'Lookup_Dataset 1'!A5:F6,6)*C9*C19*(1-D20)</f>
        <v>0</v>
      </c>
    </row>
    <row r="14" spans="2:15" ht="14.5" x14ac:dyDescent="0.35">
      <c r="B14" s="9" t="s">
        <v>80</v>
      </c>
      <c r="C14" s="132">
        <v>0</v>
      </c>
      <c r="D14" s="132"/>
      <c r="E14" s="35"/>
      <c r="F14" s="135"/>
      <c r="G14" s="15" t="s">
        <v>105</v>
      </c>
      <c r="H14" s="16">
        <f>IF(C12="Nein",0,IF(C12="Ja",'Dataset 2'!B16,0)*2)</f>
        <v>0</v>
      </c>
      <c r="I14" s="17">
        <f>H14*24*C40</f>
        <v>0</v>
      </c>
      <c r="J14" s="16">
        <f t="shared" si="0"/>
        <v>0</v>
      </c>
      <c r="K14" s="17">
        <f t="shared" si="0"/>
        <v>0</v>
      </c>
      <c r="N14" t="s">
        <v>120</v>
      </c>
      <c r="O14" s="31">
        <f>VLOOKUP(C5,'Lookup_Dataset 1'!A9:F10,6)*(1-C19)*C9*(1-C20)+VLOOKUP(D5,'Lookup_Dataset 1'!A9:F10,6)*TOOLDRAFT_VERS2!D9*(1-TOOLDRAFT_VERS2!D19)*(1-TOOLDRAFT_VERS2!D20)</f>
        <v>0</v>
      </c>
    </row>
    <row r="15" spans="2:15" ht="14.5" x14ac:dyDescent="0.35">
      <c r="B15" s="9" t="str">
        <f>IF(C12="Ja","Personalbedarf Prozess 1 - 1 [Anzahl Personen]","")</f>
        <v/>
      </c>
      <c r="C15" s="134">
        <v>0</v>
      </c>
      <c r="D15" s="134"/>
      <c r="E15" s="35"/>
      <c r="F15" s="135"/>
      <c r="G15" s="15" t="s">
        <v>106</v>
      </c>
      <c r="H15" s="16">
        <f>VLOOKUP(C5,'Dataset 3'!A7:B8,2)*C9+VLOOKUP(D5,'Dataset 3'!A7:B8,2)*D9</f>
        <v>0</v>
      </c>
      <c r="I15" s="17">
        <f>H15*24*C40</f>
        <v>0</v>
      </c>
      <c r="J15" s="16">
        <f t="shared" si="0"/>
        <v>0</v>
      </c>
      <c r="K15" s="17">
        <f t="shared" si="0"/>
        <v>0</v>
      </c>
      <c r="O15" s="31"/>
    </row>
    <row r="16" spans="2:15" ht="14.5" x14ac:dyDescent="0.35">
      <c r="B16" s="36" t="s">
        <v>81</v>
      </c>
      <c r="C16" s="132">
        <v>0</v>
      </c>
      <c r="D16" s="132"/>
      <c r="F16" s="135"/>
      <c r="G16" s="15" t="s">
        <v>107</v>
      </c>
      <c r="H16" s="16">
        <f>VLOOKUP(C5,'Dataset 3'!A11:B12,2)*TOOLDRAFT_VERS2!C9+VLOOKUP(TOOLDRAFT_VERS2!D5,'Dataset 3'!A11:B12,2)*TOOLDRAFT_VERS2!D9</f>
        <v>0</v>
      </c>
      <c r="I16" s="17">
        <f>H16*24*C39</f>
        <v>0</v>
      </c>
      <c r="J16" s="14"/>
      <c r="K16" s="17"/>
      <c r="N16" s="34" t="s">
        <v>24</v>
      </c>
      <c r="O16" s="31"/>
    </row>
    <row r="17" spans="2:15" ht="14.5" x14ac:dyDescent="0.35">
      <c r="B17" s="21"/>
      <c r="C17" s="3"/>
      <c r="D17" s="22"/>
      <c r="F17" s="135"/>
      <c r="G17" s="15" t="s">
        <v>108</v>
      </c>
      <c r="H17" s="16">
        <f>VLOOKUP(C5,'Dataset 3'!A15:B16,2)*TOOLDRAFT_VERS2!C9+VLOOKUP(D5,'Dataset 3'!A15:B16,2)*TOOLDRAFT_VERS2!D9</f>
        <v>0</v>
      </c>
      <c r="I17" s="17">
        <f>H17*24*C39</f>
        <v>0</v>
      </c>
      <c r="J17" s="14"/>
      <c r="K17" s="17"/>
      <c r="N17" t="s">
        <v>119</v>
      </c>
      <c r="O17" s="31">
        <f>VLOOKUP(C5,'Lookup_Dataset 1'!A14:F15,6)*TOOLDRAFT_VERS2!C9*TOOLDRAFT_VERS2!C19*TOOLDRAFT_VERS2!C20+VLOOKUP(TOOLDRAFT_VERS2!D5,'Lookup_Dataset 1'!A14:F15,6)*D9*D19*D20</f>
        <v>0</v>
      </c>
    </row>
    <row r="18" spans="2:15" ht="14.5" x14ac:dyDescent="0.35">
      <c r="B18" s="26" t="s">
        <v>82</v>
      </c>
      <c r="C18" s="27"/>
      <c r="D18" s="28"/>
      <c r="F18" s="135"/>
      <c r="G18" s="23" t="s">
        <v>109</v>
      </c>
      <c r="H18" s="37">
        <f>SUM(H13:H17)</f>
        <v>0</v>
      </c>
      <c r="I18" s="38">
        <f>SUM(I13:I17)</f>
        <v>0</v>
      </c>
      <c r="J18" s="37">
        <f>SUM(J13:J17)</f>
        <v>0</v>
      </c>
      <c r="K18" s="38">
        <f>SUM(K13:K17)</f>
        <v>0</v>
      </c>
      <c r="N18" t="s">
        <v>120</v>
      </c>
      <c r="O18" s="31">
        <f>VLOOKUP(C5,'Lookup_Dataset 1'!A18:F19,6)*(1-C19)*C20*C9+VLOOKUP(D5,'Lookup_Dataset 1'!A18:F19,6)*D9*(1-D19)*D20</f>
        <v>0</v>
      </c>
    </row>
    <row r="19" spans="2:15" ht="14.5" x14ac:dyDescent="0.35">
      <c r="B19" s="9" t="s">
        <v>83</v>
      </c>
      <c r="C19" s="39">
        <v>0</v>
      </c>
      <c r="D19" s="40">
        <v>0</v>
      </c>
      <c r="F19" s="41"/>
      <c r="G19" s="42"/>
      <c r="H19" s="43"/>
      <c r="I19" s="44"/>
      <c r="J19" s="43"/>
      <c r="K19" s="44"/>
      <c r="O19" s="31"/>
    </row>
    <row r="20" spans="2:15" ht="15" customHeight="1" x14ac:dyDescent="0.35">
      <c r="B20" s="9" t="s">
        <v>84</v>
      </c>
      <c r="C20" s="39">
        <v>0</v>
      </c>
      <c r="D20" s="40">
        <v>0</v>
      </c>
      <c r="F20" s="136" t="s">
        <v>101</v>
      </c>
      <c r="G20" s="19"/>
      <c r="H20" s="14"/>
      <c r="I20" s="22"/>
      <c r="J20" s="14"/>
      <c r="K20" s="22"/>
      <c r="L20" s="45"/>
      <c r="O20" s="31"/>
    </row>
    <row r="21" spans="2:15" ht="14.5" x14ac:dyDescent="0.35">
      <c r="B21" s="9" t="s">
        <v>85</v>
      </c>
      <c r="C21" s="39">
        <v>0</v>
      </c>
      <c r="D21" s="40">
        <v>0</v>
      </c>
      <c r="F21" s="136"/>
      <c r="G21" s="23" t="s">
        <v>110</v>
      </c>
      <c r="H21" s="37">
        <f>SUM(O13:O18)+O24</f>
        <v>0</v>
      </c>
      <c r="I21" s="46">
        <f>H21*24*C38</f>
        <v>0</v>
      </c>
      <c r="J21" s="37">
        <v>0</v>
      </c>
      <c r="K21" s="46">
        <v>0</v>
      </c>
      <c r="L21" s="45"/>
      <c r="N21" t="s">
        <v>121</v>
      </c>
      <c r="O21" s="31">
        <f>VLOOKUP(C5,'Dataset 4'!A16:B17,2)*C9*(1-C26)+VLOOKUP(D5,'Dataset 4'!A16:B17,2)*D9*(1-D26)</f>
        <v>0</v>
      </c>
    </row>
    <row r="22" spans="2:15" ht="15" customHeight="1" x14ac:dyDescent="0.35">
      <c r="B22" s="21"/>
      <c r="C22" s="3"/>
      <c r="D22" s="22"/>
      <c r="F22" s="136"/>
      <c r="G22" s="15"/>
      <c r="H22" s="14"/>
      <c r="I22" s="22"/>
      <c r="J22" s="14"/>
      <c r="K22" s="22"/>
      <c r="L22" s="47"/>
      <c r="N22" t="s">
        <v>122</v>
      </c>
      <c r="O22" s="31">
        <f>VLOOKUP(C5,'Dataset 4'!A20:B21,2)*C9*C26+VLOOKUP(D5,'Dataset 4'!A20:B21,2)*TOOLDRAFT_VERS2!D9*TOOLDRAFT_VERS2!D26</f>
        <v>0</v>
      </c>
    </row>
    <row r="23" spans="2:15" ht="14.5" x14ac:dyDescent="0.35">
      <c r="B23" s="26" t="s">
        <v>86</v>
      </c>
      <c r="C23" s="27"/>
      <c r="D23" s="28"/>
      <c r="F23" s="14"/>
      <c r="G23" s="15"/>
      <c r="H23" s="14"/>
      <c r="I23" s="22"/>
      <c r="J23" s="14"/>
      <c r="K23" s="22"/>
      <c r="L23" s="47"/>
      <c r="O23" s="31"/>
    </row>
    <row r="24" spans="2:15" ht="15.75" customHeight="1" x14ac:dyDescent="0.35">
      <c r="B24" s="48" t="s">
        <v>87</v>
      </c>
      <c r="C24" s="39">
        <v>0</v>
      </c>
      <c r="D24" s="40">
        <v>0</v>
      </c>
      <c r="F24" s="137" t="s">
        <v>102</v>
      </c>
      <c r="G24" s="15" t="s">
        <v>113</v>
      </c>
      <c r="H24" s="16">
        <f>O31+O32</f>
        <v>0</v>
      </c>
      <c r="I24" s="17">
        <f>H24*24*C39</f>
        <v>0</v>
      </c>
      <c r="J24" s="49"/>
      <c r="K24" s="17"/>
      <c r="L24" s="47"/>
      <c r="N24" t="s">
        <v>123</v>
      </c>
      <c r="O24" s="31">
        <f>(C9*C21+D9*D21)*'Lookup_Dataset 1'!I4</f>
        <v>0</v>
      </c>
    </row>
    <row r="25" spans="2:15" ht="14.5" x14ac:dyDescent="0.35">
      <c r="B25" s="9" t="s">
        <v>88</v>
      </c>
      <c r="C25" s="39">
        <v>0</v>
      </c>
      <c r="D25" s="40">
        <v>0</v>
      </c>
      <c r="F25" s="137"/>
      <c r="G25" s="15" t="s">
        <v>114</v>
      </c>
      <c r="H25" s="16">
        <f>O21+O22</f>
        <v>0</v>
      </c>
      <c r="I25" s="17">
        <f>H25*24*C39</f>
        <v>0</v>
      </c>
      <c r="J25" s="49"/>
      <c r="K25" s="17"/>
      <c r="L25" s="50"/>
      <c r="O25" s="31"/>
    </row>
    <row r="26" spans="2:15" ht="14.5" x14ac:dyDescent="0.35">
      <c r="B26" s="9" t="s">
        <v>89</v>
      </c>
      <c r="C26" s="39">
        <v>0</v>
      </c>
      <c r="D26" s="40">
        <v>0</v>
      </c>
      <c r="F26" s="137"/>
      <c r="G26" s="15" t="s">
        <v>115</v>
      </c>
      <c r="H26" s="16">
        <f>C9*C24*'Dataset 4'!B13+D9*D24*'Dataset 4'!B13</f>
        <v>0</v>
      </c>
      <c r="I26" s="17">
        <f>H26*24*C39</f>
        <v>0</v>
      </c>
      <c r="J26" s="49"/>
      <c r="K26" s="17"/>
      <c r="N26" t="s">
        <v>125</v>
      </c>
      <c r="O26" s="31">
        <f>IF(C16=1,C14*'Dataset 2'!C5,IF(TOOLDRAFT_VERS2!C16=2,TOOLDRAFT_VERS2!C14*'Dataset 2'!C6,TOOLDRAFT_VERS2!C14*'Dataset 2'!C7))</f>
        <v>0</v>
      </c>
    </row>
    <row r="27" spans="2:15" ht="14.5" x14ac:dyDescent="0.35">
      <c r="B27" s="14"/>
      <c r="C27" s="3"/>
      <c r="D27" s="22"/>
      <c r="F27" s="137"/>
      <c r="G27" s="15" t="s">
        <v>116</v>
      </c>
      <c r="H27" s="49"/>
      <c r="I27" s="51"/>
      <c r="J27" s="16">
        <f>VLOOKUP(C5,'Dataset 5'!A1:B2,2)*C9+VLOOKUP(D5,'Dataset 5'!A1:B2,2)*D9</f>
        <v>0</v>
      </c>
      <c r="K27" s="17">
        <f>J27*24*C40</f>
        <v>0</v>
      </c>
      <c r="N27" t="s">
        <v>124</v>
      </c>
      <c r="O27" s="31">
        <f>IF(C15=1,C14*'Dataset 2'!C11,IF(TOOLDRAFT_VERS2!C15=2,TOOLDRAFT_VERS2!C14*'Dataset 2'!C12,TOOLDRAFT_VERS2!C14*'Dataset 2'!C13))</f>
        <v>0</v>
      </c>
    </row>
    <row r="28" spans="2:15" ht="14.5" x14ac:dyDescent="0.35">
      <c r="B28" s="26" t="s">
        <v>25</v>
      </c>
      <c r="C28" s="27"/>
      <c r="D28" s="28"/>
      <c r="F28" s="137"/>
      <c r="G28" s="23" t="s">
        <v>111</v>
      </c>
      <c r="H28" s="37">
        <f>SUM(H24:H27)</f>
        <v>0</v>
      </c>
      <c r="I28" s="38">
        <f>SUM(I24:I27)</f>
        <v>0</v>
      </c>
      <c r="J28" s="37">
        <f>SUM(J24:J27)</f>
        <v>0</v>
      </c>
      <c r="K28" s="38">
        <f>SUM(K24:K27)</f>
        <v>0</v>
      </c>
      <c r="N28" t="s">
        <v>26</v>
      </c>
      <c r="O28" s="31">
        <f>C13*C15/24</f>
        <v>0</v>
      </c>
    </row>
    <row r="29" spans="2:15" ht="15" customHeight="1" x14ac:dyDescent="0.35">
      <c r="B29" s="14" t="s">
        <v>27</v>
      </c>
      <c r="C29" s="10" t="s">
        <v>28</v>
      </c>
      <c r="D29" s="22"/>
      <c r="F29" s="14"/>
      <c r="G29" s="52"/>
      <c r="H29" s="53"/>
      <c r="I29" s="54"/>
      <c r="J29" s="55"/>
      <c r="K29" s="56"/>
    </row>
    <row r="30" spans="2:15" ht="15" customHeight="1" x14ac:dyDescent="0.35">
      <c r="B30" s="14" t="s">
        <v>90</v>
      </c>
      <c r="C30" s="10" t="s">
        <v>28</v>
      </c>
      <c r="D30" s="22"/>
      <c r="F30" s="138" t="s">
        <v>103</v>
      </c>
      <c r="G30" s="19"/>
      <c r="H30" s="14"/>
      <c r="I30" s="22"/>
      <c r="J30" s="14"/>
      <c r="K30" s="22"/>
      <c r="N30" t="s">
        <v>126</v>
      </c>
    </row>
    <row r="31" spans="2:15" ht="14.5" x14ac:dyDescent="0.35">
      <c r="B31" s="14" t="s">
        <v>91</v>
      </c>
      <c r="C31" s="10" t="s">
        <v>28</v>
      </c>
      <c r="D31" s="57"/>
      <c r="F31" s="138"/>
      <c r="G31" s="23" t="s">
        <v>112</v>
      </c>
      <c r="H31" s="37">
        <f>H9</f>
        <v>0</v>
      </c>
      <c r="I31" s="46">
        <f>I9</f>
        <v>0</v>
      </c>
      <c r="J31" s="37">
        <f>J9</f>
        <v>0</v>
      </c>
      <c r="K31" s="46">
        <f>K9</f>
        <v>0</v>
      </c>
      <c r="L31" s="58"/>
      <c r="N31" t="s">
        <v>29</v>
      </c>
      <c r="O31" s="31">
        <f>VLOOKUP(C5,'Dataset 4'!A9:C11,2)*TOOLDRAFT_VERS2!C9*(1-TOOLDRAFT_VERS2!C25)+VLOOKUP(D5,'Dataset 4'!A9:C11,2)*TOOLDRAFT_VERS2!D9*(1-TOOLDRAFT_VERS2!D25)</f>
        <v>0</v>
      </c>
    </row>
    <row r="32" spans="2:15" ht="14.5" x14ac:dyDescent="0.35">
      <c r="B32" s="14"/>
      <c r="C32" s="3"/>
      <c r="D32" s="22"/>
      <c r="F32" s="139"/>
      <c r="G32" s="59"/>
      <c r="H32" s="60"/>
      <c r="I32" s="61"/>
      <c r="J32" s="60"/>
      <c r="K32" s="61"/>
      <c r="L32" s="62"/>
      <c r="N32" t="s">
        <v>24</v>
      </c>
      <c r="O32" s="31">
        <f>VLOOKUP(C5,'Dataset 4'!A9:C11,3)*TOOLDRAFT_VERS2!C9*(TOOLDRAFT_VERS2!C25)+VLOOKUP(D5,'Dataset 4'!A9:C11,3)*TOOLDRAFT_VERS2!D9*(TOOLDRAFT_VERS2!D25)</f>
        <v>0</v>
      </c>
    </row>
    <row r="33" spans="1:12" ht="14.5" x14ac:dyDescent="0.35">
      <c r="B33" s="26" t="s">
        <v>30</v>
      </c>
      <c r="C33" s="27"/>
      <c r="D33" s="28"/>
      <c r="G33" s="3"/>
      <c r="H33" s="3"/>
      <c r="I33" s="3"/>
      <c r="J33" s="3"/>
      <c r="K33" s="3"/>
      <c r="L33" s="62"/>
    </row>
    <row r="34" spans="1:12" ht="18.5" x14ac:dyDescent="0.45">
      <c r="B34" s="14" t="s">
        <v>31</v>
      </c>
      <c r="C34" s="10" t="s">
        <v>28</v>
      </c>
      <c r="D34" s="22"/>
      <c r="F34" s="140" t="s">
        <v>32</v>
      </c>
      <c r="G34" s="140"/>
      <c r="H34" s="141" t="s">
        <v>8</v>
      </c>
      <c r="I34" s="141"/>
      <c r="J34" s="142"/>
      <c r="K34" s="142"/>
    </row>
    <row r="35" spans="1:12" ht="14.5" x14ac:dyDescent="0.35">
      <c r="B35" s="14" t="s">
        <v>33</v>
      </c>
      <c r="C35" s="10" t="s">
        <v>28</v>
      </c>
      <c r="D35" s="22"/>
      <c r="F35" s="1" t="s">
        <v>34</v>
      </c>
      <c r="G35" s="11"/>
      <c r="H35" s="63" t="s">
        <v>5</v>
      </c>
      <c r="I35" s="64" t="s">
        <v>6</v>
      </c>
      <c r="J35" s="65"/>
      <c r="K35" s="65"/>
    </row>
    <row r="36" spans="1:12" ht="16.5" x14ac:dyDescent="0.35">
      <c r="B36" s="66"/>
      <c r="C36" s="67"/>
      <c r="D36" s="61"/>
      <c r="F36" s="14"/>
      <c r="G36" s="68" t="s">
        <v>35</v>
      </c>
      <c r="H36" s="69">
        <f>IF(SUM(C8:D8)&gt;0,IF(C5="Notebook",C8*ökologische_KPIs!$C$2+ökologische_KPIs!$B$2,ökologische_KPIs!$C$3*TOOLDRAFT_VERS2!C8),0)</f>
        <v>0</v>
      </c>
      <c r="I36" s="70">
        <f>IF(SUM(C8:D8)&gt;0,IF(D5="Notebook",D8*ökologische_KPIs!$C$2+ökologische_KPIs!$B$2,ökologische_KPIs!$C$3*TOOLDRAFT_VERS2!D8),0)</f>
        <v>0</v>
      </c>
      <c r="J36" s="3"/>
      <c r="K36" s="3"/>
    </row>
    <row r="37" spans="1:12" ht="16.5" x14ac:dyDescent="0.35">
      <c r="B37" s="71" t="s">
        <v>36</v>
      </c>
      <c r="C37" s="72"/>
      <c r="D37" s="73"/>
      <c r="F37" s="14"/>
      <c r="G37" s="68" t="s">
        <v>37</v>
      </c>
      <c r="H37" s="74">
        <f>H36*183</f>
        <v>0</v>
      </c>
      <c r="I37" s="75">
        <f>I36*183</f>
        <v>0</v>
      </c>
      <c r="J37" s="3"/>
      <c r="K37" s="3"/>
    </row>
    <row r="38" spans="1:12" ht="16.5" x14ac:dyDescent="0.35">
      <c r="B38" s="9" t="s">
        <v>92</v>
      </c>
      <c r="C38" s="76">
        <f>2691/(38.5*4.33)</f>
        <v>16.142287273926996</v>
      </c>
      <c r="D38" s="22"/>
      <c r="F38" s="14"/>
      <c r="G38" s="68" t="s">
        <v>117</v>
      </c>
      <c r="H38" s="77">
        <f>H36*3.7/1000</f>
        <v>0</v>
      </c>
      <c r="I38" s="78">
        <f>I36*3.7/1000</f>
        <v>0</v>
      </c>
      <c r="J38" s="3"/>
      <c r="K38" s="3"/>
    </row>
    <row r="39" spans="1:12" ht="16.5" x14ac:dyDescent="0.35">
      <c r="B39" s="9" t="s">
        <v>93</v>
      </c>
      <c r="C39" s="76">
        <v>12.56</v>
      </c>
      <c r="D39" s="22"/>
      <c r="F39" s="14"/>
      <c r="G39" s="79"/>
      <c r="H39" s="80"/>
      <c r="I39" s="22"/>
      <c r="J39" s="3"/>
      <c r="K39" s="3"/>
    </row>
    <row r="40" spans="1:12" ht="16.5" x14ac:dyDescent="0.35">
      <c r="B40" s="9" t="s">
        <v>94</v>
      </c>
      <c r="C40" s="76">
        <v>12.56</v>
      </c>
      <c r="D40" s="22"/>
      <c r="F40" s="133" t="s">
        <v>38</v>
      </c>
      <c r="G40" s="133"/>
      <c r="H40" s="81"/>
      <c r="I40" s="28"/>
      <c r="J40" s="82"/>
      <c r="K40" s="3"/>
    </row>
    <row r="41" spans="1:12" ht="16.5" x14ac:dyDescent="0.35">
      <c r="B41" s="83" t="s">
        <v>95</v>
      </c>
      <c r="C41" s="84">
        <v>0.2</v>
      </c>
      <c r="D41" s="61"/>
      <c r="F41" s="14"/>
      <c r="G41" s="68" t="s">
        <v>35</v>
      </c>
      <c r="H41" s="69">
        <f>H36*C9</f>
        <v>0</v>
      </c>
      <c r="I41" s="85">
        <f>I36*D9</f>
        <v>0</v>
      </c>
      <c r="J41" s="3"/>
      <c r="K41" s="3"/>
    </row>
    <row r="42" spans="1:12" ht="16.5" x14ac:dyDescent="0.35">
      <c r="B42" s="3"/>
      <c r="C42" s="3"/>
      <c r="D42" s="3"/>
      <c r="F42" s="14"/>
      <c r="G42" s="68" t="s">
        <v>39</v>
      </c>
      <c r="H42" s="74">
        <f>H41*183</f>
        <v>0</v>
      </c>
      <c r="I42" s="75">
        <f>I41*183</f>
        <v>0</v>
      </c>
      <c r="J42" s="3"/>
      <c r="K42" s="3"/>
    </row>
    <row r="43" spans="1:12" ht="16.5" x14ac:dyDescent="0.35">
      <c r="B43" s="3"/>
      <c r="C43" s="3"/>
      <c r="D43" s="3"/>
      <c r="F43" s="60"/>
      <c r="G43" s="86" t="s">
        <v>117</v>
      </c>
      <c r="H43" s="87">
        <f>H38*(C9+D9)</f>
        <v>0</v>
      </c>
      <c r="I43" s="88">
        <f>I38*(D9+E9)</f>
        <v>0</v>
      </c>
      <c r="J43" s="3"/>
      <c r="K43" s="3"/>
    </row>
    <row r="44" spans="1:12" ht="14.5" x14ac:dyDescent="0.35">
      <c r="B44" s="42" t="s">
        <v>40</v>
      </c>
      <c r="C44" s="3"/>
      <c r="D44" s="3"/>
      <c r="E44" s="89"/>
      <c r="G44" s="3"/>
      <c r="H44" s="3"/>
      <c r="I44" s="3"/>
      <c r="J44" s="3"/>
      <c r="K44" s="3"/>
    </row>
    <row r="45" spans="1:12" ht="18.5" x14ac:dyDescent="0.45">
      <c r="B45" s="90" t="s">
        <v>41</v>
      </c>
      <c r="C45" s="3"/>
      <c r="D45" s="3"/>
      <c r="E45" s="89"/>
      <c r="F45" s="140" t="s">
        <v>42</v>
      </c>
      <c r="G45" s="140"/>
      <c r="H45" s="91"/>
      <c r="I45" s="91"/>
      <c r="J45" s="91"/>
      <c r="K45" s="73"/>
    </row>
    <row r="46" spans="1:12" ht="14.5" x14ac:dyDescent="0.35">
      <c r="B46" s="92" t="s">
        <v>43</v>
      </c>
      <c r="C46" s="3"/>
      <c r="D46" s="3"/>
      <c r="F46" s="93" t="s">
        <v>14</v>
      </c>
      <c r="G46" s="143" t="str">
        <f>IF(C6&lt;2019,"Manche Produkte sind aufgrund ihres Baujahres nicht für Refurbishment geeignet",IF(D6&lt;2019,"Manche Produkte sind aufgrund ihres Baujahres nicht für Refurbishment geeignet",""))</f>
        <v/>
      </c>
      <c r="H46" s="143"/>
      <c r="I46" s="143"/>
      <c r="J46" s="143"/>
      <c r="K46" s="143"/>
    </row>
    <row r="47" spans="1:12" ht="14.5" x14ac:dyDescent="0.35">
      <c r="A47"/>
      <c r="B47" s="3"/>
      <c r="C47" s="3"/>
      <c r="D47" s="3"/>
      <c r="F47" s="14"/>
      <c r="G47" s="3"/>
      <c r="H47" s="3"/>
      <c r="I47" s="3"/>
      <c r="J47" s="3"/>
      <c r="K47" s="22"/>
    </row>
    <row r="48" spans="1:12" ht="17.25" customHeight="1" x14ac:dyDescent="0.35">
      <c r="B48" s="90" t="s">
        <v>44</v>
      </c>
      <c r="C48" s="3"/>
      <c r="D48" s="3"/>
      <c r="F48" s="93" t="s">
        <v>118</v>
      </c>
      <c r="G48" s="143" t="str">
        <f>IF(C7="Nein","Manche Produkte erfüllen das nicht!",IF(D7="Nein","Manche Produkte erfüllen das nicht!",""))</f>
        <v/>
      </c>
      <c r="H48" s="143"/>
      <c r="I48" s="143"/>
      <c r="J48" s="143"/>
      <c r="K48" s="143"/>
    </row>
    <row r="49" spans="2:13" ht="14.5" x14ac:dyDescent="0.35">
      <c r="B49" s="92" t="s">
        <v>45</v>
      </c>
      <c r="C49" s="3"/>
      <c r="D49" s="3"/>
      <c r="F49" s="14"/>
      <c r="G49" s="3"/>
      <c r="H49" s="3"/>
      <c r="I49" s="3"/>
      <c r="J49" s="3"/>
      <c r="K49" s="22"/>
    </row>
    <row r="50" spans="2:13" ht="14.5" x14ac:dyDescent="0.35">
      <c r="B50" s="3"/>
      <c r="C50" s="3"/>
      <c r="D50" s="3"/>
      <c r="F50" s="145" t="s">
        <v>46</v>
      </c>
      <c r="G50" s="146" t="str">
        <f>IF(AVERAGE(C20:D21)&gt;0.3,"Achtung Qualitätsprobleme","")</f>
        <v/>
      </c>
      <c r="H50" s="146"/>
      <c r="I50" s="146"/>
      <c r="J50" s="146"/>
      <c r="K50" s="146"/>
    </row>
    <row r="51" spans="2:13" ht="14.5" x14ac:dyDescent="0.35">
      <c r="B51" s="3"/>
      <c r="C51" s="3"/>
      <c r="D51" s="3"/>
      <c r="F51" s="145"/>
      <c r="G51" s="146" t="str">
        <f>IF(SUM(C9:D9)&gt;=70,IF(C12="Ja",IF(AVERAGE(C20:D21)&gt;=0.2,"Keine Selbstabholung - Qualität nicht hoch genug",""),""),"")</f>
        <v/>
      </c>
      <c r="H51" s="146"/>
      <c r="I51" s="146"/>
      <c r="J51" s="146"/>
      <c r="K51" s="146"/>
    </row>
    <row r="52" spans="2:13" ht="14.5" x14ac:dyDescent="0.35">
      <c r="B52" s="3"/>
      <c r="C52" s="3"/>
      <c r="D52" s="3"/>
      <c r="F52" s="9"/>
      <c r="G52" s="95"/>
      <c r="H52" s="95"/>
      <c r="I52" s="95"/>
      <c r="J52" s="95"/>
      <c r="K52" s="94"/>
    </row>
    <row r="53" spans="2:13" ht="24.75" customHeight="1" x14ac:dyDescent="0.35">
      <c r="B53" s="3"/>
      <c r="C53" s="3"/>
      <c r="D53" s="3"/>
      <c r="F53" s="147" t="s">
        <v>47</v>
      </c>
      <c r="G53" s="143" t="str">
        <f>IF(C30="Hoch",IF(C35="Hoch","Akquisition nicht empfohlen aufgrund von hoher Auslastung und hohem Lagerstand",""),"")</f>
        <v/>
      </c>
      <c r="H53" s="143"/>
      <c r="I53" s="143"/>
      <c r="J53" s="143"/>
      <c r="K53" s="143"/>
    </row>
    <row r="54" spans="2:13" ht="33.75" customHeight="1" x14ac:dyDescent="0.35">
      <c r="B54" s="3"/>
      <c r="C54" s="3"/>
      <c r="D54" s="3"/>
      <c r="F54" s="147"/>
      <c r="G54" s="148" t="str">
        <f>IF(C30="Hoch",IF(C34="Hoch","Bitte prüfen, ob der Abteilung 1 aktuell ausreichende Ressourcen zugeordnet sind, um die Anforderungen zu erfüllen.",""),"")</f>
        <v/>
      </c>
      <c r="H54" s="148"/>
      <c r="I54" s="148"/>
      <c r="J54" s="148"/>
      <c r="K54" s="148"/>
    </row>
    <row r="55" spans="2:13" ht="27.75" customHeight="1" x14ac:dyDescent="0.35">
      <c r="B55" s="3"/>
      <c r="C55" s="3"/>
      <c r="D55" s="3"/>
      <c r="F55" s="147"/>
      <c r="G55" s="148" t="str">
        <f>IF(OR(C30="Hoch",AND(C29="Hoch",C31="Hoch")),"Achtung - eine weitere Akquisition könnte die Durchlaufzeit des Refurbishments negativ beeinflussen. Sind genügend Ressourcen vorhanden?","")</f>
        <v/>
      </c>
      <c r="H55" s="148"/>
      <c r="I55" s="148"/>
      <c r="J55" s="148"/>
      <c r="K55" s="148"/>
    </row>
    <row r="56" spans="2:13" ht="33" customHeight="1" x14ac:dyDescent="0.35">
      <c r="B56" s="3"/>
      <c r="C56" s="3"/>
      <c r="D56" s="3"/>
      <c r="F56" s="147"/>
      <c r="G56" s="96"/>
      <c r="H56" s="96"/>
      <c r="I56" s="96"/>
      <c r="J56" s="96"/>
      <c r="K56" s="61"/>
    </row>
    <row r="57" spans="2:13" ht="15" customHeight="1" x14ac:dyDescent="0.35">
      <c r="B57" s="3"/>
      <c r="C57" s="3"/>
      <c r="D57" s="3"/>
      <c r="G57" s="3"/>
      <c r="H57" s="3"/>
      <c r="I57" s="3"/>
      <c r="J57" s="3"/>
      <c r="K57" s="3"/>
    </row>
    <row r="58" spans="2:13" ht="15" customHeight="1" x14ac:dyDescent="0.35">
      <c r="B58" s="3"/>
      <c r="C58" s="3"/>
      <c r="D58" s="3"/>
      <c r="G58" s="3"/>
      <c r="H58" s="3"/>
      <c r="I58" s="3"/>
      <c r="J58" s="3"/>
      <c r="K58" s="3"/>
    </row>
    <row r="59" spans="2:13" ht="15" customHeight="1" x14ac:dyDescent="0.35">
      <c r="B59" s="3"/>
      <c r="C59" s="3"/>
      <c r="D59" s="3"/>
      <c r="F59" s="144" t="s">
        <v>48</v>
      </c>
      <c r="G59" s="144"/>
      <c r="H59" s="144"/>
      <c r="I59" s="144"/>
      <c r="J59" s="144"/>
      <c r="K59" s="144"/>
    </row>
    <row r="60" spans="2:13" ht="14.5" x14ac:dyDescent="0.35">
      <c r="B60" s="3"/>
      <c r="C60" s="3"/>
      <c r="D60" s="3"/>
      <c r="F60" s="144"/>
      <c r="G60" s="144"/>
      <c r="H60" s="144"/>
      <c r="I60" s="144"/>
      <c r="J60" s="144"/>
      <c r="K60" s="144"/>
      <c r="L60"/>
      <c r="M60"/>
    </row>
    <row r="61" spans="2:13" ht="14.5" x14ac:dyDescent="0.35">
      <c r="B61" s="3"/>
      <c r="C61" s="3"/>
      <c r="D61" s="3"/>
      <c r="G61" s="3"/>
      <c r="H61" s="3"/>
      <c r="I61" s="3"/>
      <c r="J61" s="3"/>
      <c r="K61" s="3"/>
    </row>
    <row r="62" spans="2:13" ht="15" customHeight="1" x14ac:dyDescent="0.35">
      <c r="B62" s="3"/>
      <c r="C62" s="3"/>
      <c r="D62" s="3"/>
      <c r="G62" s="3"/>
      <c r="H62" s="3"/>
      <c r="I62" s="3"/>
      <c r="J62" s="3"/>
      <c r="K62" s="3"/>
    </row>
    <row r="63" spans="2:13" ht="15" customHeight="1" x14ac:dyDescent="0.35">
      <c r="B63" s="3"/>
      <c r="C63" s="3"/>
      <c r="D63" s="3"/>
      <c r="F63" s="97"/>
      <c r="G63" s="3"/>
      <c r="H63" s="3"/>
      <c r="I63" s="3"/>
      <c r="J63" s="3"/>
      <c r="K63" s="3"/>
    </row>
    <row r="64" spans="2:13" ht="15" customHeight="1" x14ac:dyDescent="0.35">
      <c r="B64" s="3"/>
      <c r="C64" s="3"/>
      <c r="D64" s="3"/>
      <c r="F64" s="98"/>
      <c r="G64" s="3"/>
      <c r="H64" s="3"/>
      <c r="I64" s="3"/>
      <c r="J64" s="3"/>
      <c r="K64" s="3"/>
    </row>
    <row r="65" spans="2:11" ht="15" customHeight="1" x14ac:dyDescent="0.35">
      <c r="B65" s="3"/>
      <c r="C65" s="3"/>
      <c r="D65" s="3"/>
      <c r="G65" s="3"/>
      <c r="H65" s="3"/>
      <c r="I65" s="3"/>
      <c r="J65" s="3"/>
      <c r="K65" s="3"/>
    </row>
    <row r="66" spans="2:11" ht="15" customHeight="1" x14ac:dyDescent="0.35">
      <c r="B66" s="3"/>
      <c r="C66" s="3"/>
      <c r="D66" s="3"/>
      <c r="G66" s="3"/>
      <c r="H66" s="3"/>
      <c r="I66" s="3"/>
      <c r="J66" s="3"/>
      <c r="K66" s="3"/>
    </row>
    <row r="67" spans="2:11" ht="15" customHeight="1" x14ac:dyDescent="0.35">
      <c r="B67" s="3"/>
      <c r="C67" s="3"/>
      <c r="D67" s="3"/>
      <c r="G67" s="3"/>
      <c r="H67" s="3"/>
      <c r="I67" s="3"/>
      <c r="J67" s="3"/>
      <c r="K67" s="3"/>
    </row>
    <row r="68" spans="2:11" ht="15" customHeight="1" x14ac:dyDescent="0.35">
      <c r="B68" s="3"/>
      <c r="C68" s="3"/>
      <c r="D68" s="3"/>
      <c r="G68" s="3"/>
      <c r="H68" s="3"/>
      <c r="I68" s="3"/>
      <c r="J68" s="3"/>
      <c r="K68" s="3"/>
    </row>
    <row r="69" spans="2:11" ht="15" customHeight="1" x14ac:dyDescent="0.35">
      <c r="B69" s="3"/>
      <c r="C69" s="3"/>
      <c r="D69" s="3"/>
      <c r="G69" s="3"/>
      <c r="H69" s="3"/>
      <c r="I69" s="3"/>
      <c r="J69" s="3"/>
      <c r="K69" s="3"/>
    </row>
    <row r="70" spans="2:11" ht="15" customHeight="1" x14ac:dyDescent="0.35">
      <c r="B70" s="3"/>
      <c r="C70" s="3"/>
      <c r="D70" s="3"/>
      <c r="G70" s="3"/>
      <c r="H70" s="3"/>
      <c r="I70" s="3"/>
      <c r="J70" s="3"/>
      <c r="K70" s="3"/>
    </row>
    <row r="71" spans="2:11" ht="15" customHeight="1" x14ac:dyDescent="0.35">
      <c r="B71" s="3"/>
      <c r="C71" s="3"/>
      <c r="D71" s="3"/>
      <c r="G71" s="3"/>
      <c r="H71" s="3"/>
      <c r="I71" s="3"/>
      <c r="J71" s="3"/>
      <c r="K71" s="3"/>
    </row>
  </sheetData>
  <mergeCells count="32">
    <mergeCell ref="F59:K60"/>
    <mergeCell ref="F50:F51"/>
    <mergeCell ref="G50:K50"/>
    <mergeCell ref="G51:K51"/>
    <mergeCell ref="F53:F56"/>
    <mergeCell ref="G53:K53"/>
    <mergeCell ref="G54:K54"/>
    <mergeCell ref="G55:K55"/>
    <mergeCell ref="J34:K34"/>
    <mergeCell ref="F40:G40"/>
    <mergeCell ref="F45:G45"/>
    <mergeCell ref="G46:K46"/>
    <mergeCell ref="G48:K48"/>
    <mergeCell ref="F20:F22"/>
    <mergeCell ref="F24:F28"/>
    <mergeCell ref="F30:F32"/>
    <mergeCell ref="F34:G34"/>
    <mergeCell ref="H34:I34"/>
    <mergeCell ref="C12:D12"/>
    <mergeCell ref="F12:G12"/>
    <mergeCell ref="C13:D13"/>
    <mergeCell ref="F13:F18"/>
    <mergeCell ref="C14:D14"/>
    <mergeCell ref="C15:D15"/>
    <mergeCell ref="C16:D16"/>
    <mergeCell ref="B1:D1"/>
    <mergeCell ref="F1:K1"/>
    <mergeCell ref="B2:D3"/>
    <mergeCell ref="F2:K3"/>
    <mergeCell ref="F4:G4"/>
    <mergeCell ref="H4:I4"/>
    <mergeCell ref="J4:K4"/>
  </mergeCells>
  <conditionalFormatting sqref="C13">
    <cfRule type="expression" dxfId="1" priority="3">
      <formula>$C$12="Nein"</formula>
    </cfRule>
  </conditionalFormatting>
  <conditionalFormatting sqref="C15">
    <cfRule type="expression" dxfId="0" priority="2">
      <formula>$C$12="Nein"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Merkmale!$A$2:$A$3</xm:f>
          </x14:formula1>
          <x14:formula2>
            <xm:f>0</xm:f>
          </x14:formula2>
          <xm:sqref>C5:D5</xm:sqref>
        </x14:dataValidation>
        <x14:dataValidation type="list" allowBlank="1" showInputMessage="1" showErrorMessage="1" xr:uid="{00000000-0002-0000-0000-000001000000}">
          <x14:formula1>
            <xm:f>Merkmale!$F$2:$F$3</xm:f>
          </x14:formula1>
          <x14:formula2>
            <xm:f>0</xm:f>
          </x14:formula2>
          <xm:sqref>C7:D7 C12</xm:sqref>
        </x14:dataValidation>
        <x14:dataValidation type="list" allowBlank="1" showInputMessage="1" showErrorMessage="1" xr:uid="{00000000-0002-0000-0000-000002000000}">
          <x14:formula1>
            <xm:f>Merkmale!$H$2:$H$4</xm:f>
          </x14:formula1>
          <x14:formula2>
            <xm:f>0</xm:f>
          </x14:formula2>
          <xm:sqref>C36</xm:sqref>
        </x14:dataValidation>
        <x14:dataValidation type="list" allowBlank="1" showInputMessage="1" showErrorMessage="1" xr:uid="{00000000-0002-0000-0000-000003000000}">
          <x14:formula1>
            <xm:f>Merkmale!$G$2:$G$4</xm:f>
          </x14:formula1>
          <x14:formula2>
            <xm:f>0</xm:f>
          </x14:formula2>
          <xm:sqref>C29:C31 C34:C35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zoomScale="65" zoomScaleNormal="78" workbookViewId="0">
      <selection activeCell="B1" sqref="B1:E1048576"/>
    </sheetView>
  </sheetViews>
  <sheetFormatPr baseColWidth="10" defaultColWidth="17.54296875" defaultRowHeight="15" customHeight="1" x14ac:dyDescent="0.35"/>
  <cols>
    <col min="1" max="1" width="34.453125" customWidth="1"/>
    <col min="2" max="3" width="11.54296875" hidden="1" customWidth="1"/>
    <col min="4" max="5" width="13.36328125" hidden="1" customWidth="1"/>
    <col min="6" max="6" width="31" customWidth="1"/>
    <col min="8" max="8" width="34.54296875" customWidth="1"/>
  </cols>
  <sheetData>
    <row r="1" spans="1:9" ht="15" customHeight="1" x14ac:dyDescent="0.35">
      <c r="A1" s="126" t="s">
        <v>96</v>
      </c>
    </row>
    <row r="2" spans="1:9" ht="15" customHeight="1" x14ac:dyDescent="0.35">
      <c r="A2" s="99" t="s">
        <v>29</v>
      </c>
    </row>
    <row r="3" spans="1:9" ht="15" customHeight="1" x14ac:dyDescent="0.35">
      <c r="A3" s="100"/>
    </row>
    <row r="4" spans="1:9" ht="15" customHeight="1" x14ac:dyDescent="0.35">
      <c r="A4" s="34" t="s">
        <v>76</v>
      </c>
      <c r="D4" s="101" t="s">
        <v>134</v>
      </c>
      <c r="E4" s="101" t="s">
        <v>149</v>
      </c>
      <c r="F4" s="102"/>
      <c r="H4" s="103" t="s">
        <v>147</v>
      </c>
      <c r="I4" s="104">
        <v>5.2083333333333296E-3</v>
      </c>
    </row>
    <row r="5" spans="1:9" ht="15" customHeight="1" x14ac:dyDescent="0.35">
      <c r="A5" s="105" t="s">
        <v>61</v>
      </c>
      <c r="B5" s="106" t="s">
        <v>148</v>
      </c>
      <c r="C5" s="106" t="s">
        <v>29</v>
      </c>
      <c r="D5" s="107">
        <v>2.0023148148148148E-3</v>
      </c>
      <c r="E5" s="107">
        <v>2.0833333333333333E-3</v>
      </c>
      <c r="F5" s="108">
        <f>SUM(D5:E5)</f>
        <v>4.0856481481481481E-3</v>
      </c>
    </row>
    <row r="6" spans="1:9" ht="15" customHeight="1" x14ac:dyDescent="0.35">
      <c r="A6" s="105" t="s">
        <v>62</v>
      </c>
      <c r="B6" s="106" t="s">
        <v>148</v>
      </c>
      <c r="C6" s="106" t="s">
        <v>29</v>
      </c>
      <c r="D6" s="107">
        <v>2.0138888888888888E-3</v>
      </c>
      <c r="E6" s="107">
        <v>1.1574074074074073E-3</v>
      </c>
      <c r="F6" s="108">
        <f>SUM(D6:E6)</f>
        <v>3.1712962962962962E-3</v>
      </c>
    </row>
    <row r="7" spans="1:9" ht="15" customHeight="1" x14ac:dyDescent="0.35">
      <c r="A7" s="34"/>
      <c r="D7" s="109"/>
      <c r="E7" s="109"/>
      <c r="F7" s="110"/>
    </row>
    <row r="8" spans="1:9" ht="15" customHeight="1" x14ac:dyDescent="0.35">
      <c r="A8" s="34" t="s">
        <v>75</v>
      </c>
    </row>
    <row r="9" spans="1:9" ht="15" customHeight="1" x14ac:dyDescent="0.35">
      <c r="A9" s="105" t="s">
        <v>61</v>
      </c>
      <c r="B9" s="106" t="s">
        <v>75</v>
      </c>
      <c r="C9" s="106" t="s">
        <v>29</v>
      </c>
      <c r="D9" s="107">
        <v>6.9444444444444501E-4</v>
      </c>
      <c r="E9" s="107">
        <v>1.0416666666666667E-3</v>
      </c>
      <c r="F9" s="108">
        <f>SUM(D9:E9)</f>
        <v>1.7361111111111117E-3</v>
      </c>
    </row>
    <row r="10" spans="1:9" ht="15" customHeight="1" x14ac:dyDescent="0.35">
      <c r="A10" s="105" t="s">
        <v>62</v>
      </c>
      <c r="B10" s="106" t="s">
        <v>75</v>
      </c>
      <c r="C10" s="106" t="s">
        <v>29</v>
      </c>
      <c r="D10" s="107">
        <v>1.6203703703703703E-3</v>
      </c>
      <c r="E10" s="107">
        <v>8.6805555555555551E-4</v>
      </c>
      <c r="F10" s="108">
        <f>SUM(D10:E10)</f>
        <v>2.488425925925926E-3</v>
      </c>
    </row>
    <row r="11" spans="1:9" ht="15" customHeight="1" x14ac:dyDescent="0.35">
      <c r="D11" s="109"/>
      <c r="E11" s="109"/>
      <c r="F11" s="111"/>
    </row>
    <row r="12" spans="1:9" ht="15" customHeight="1" x14ac:dyDescent="0.35">
      <c r="A12" s="99" t="s">
        <v>127</v>
      </c>
    </row>
    <row r="13" spans="1:9" ht="15" customHeight="1" x14ac:dyDescent="0.35">
      <c r="A13" s="34" t="s">
        <v>76</v>
      </c>
      <c r="B13" s="106"/>
      <c r="C13" s="106"/>
      <c r="D13" s="101" t="s">
        <v>134</v>
      </c>
      <c r="E13" s="101" t="s">
        <v>149</v>
      </c>
      <c r="F13" s="102"/>
    </row>
    <row r="14" spans="1:9" ht="15" customHeight="1" x14ac:dyDescent="0.35">
      <c r="A14" s="112" t="s">
        <v>61</v>
      </c>
      <c r="B14" s="106" t="s">
        <v>148</v>
      </c>
      <c r="C14" s="106" t="s">
        <v>24</v>
      </c>
      <c r="D14" s="107">
        <v>1.9675925925925924E-3</v>
      </c>
      <c r="E14" s="107">
        <v>3.9351851851851848E-3</v>
      </c>
      <c r="F14" s="113">
        <f>SUM(D14:E14)</f>
        <v>5.9027777777777776E-3</v>
      </c>
    </row>
    <row r="15" spans="1:9" ht="15" customHeight="1" x14ac:dyDescent="0.35">
      <c r="A15" s="112" t="s">
        <v>62</v>
      </c>
      <c r="B15" s="106" t="s">
        <v>148</v>
      </c>
      <c r="C15" s="106" t="s">
        <v>24</v>
      </c>
      <c r="D15" s="107">
        <v>3.2523148148148147E-3</v>
      </c>
      <c r="E15" s="107">
        <f>E10</f>
        <v>8.6805555555555551E-4</v>
      </c>
      <c r="F15" s="113">
        <f>SUM(D15:E15)</f>
        <v>4.1203703703703697E-3</v>
      </c>
    </row>
    <row r="16" spans="1:9" ht="15" customHeight="1" x14ac:dyDescent="0.35">
      <c r="A16" s="114"/>
      <c r="D16" s="109"/>
      <c r="E16" s="109"/>
      <c r="F16" s="115"/>
    </row>
    <row r="17" spans="1:6" ht="15" customHeight="1" x14ac:dyDescent="0.35">
      <c r="A17" s="34" t="s">
        <v>75</v>
      </c>
    </row>
    <row r="18" spans="1:6" ht="15" customHeight="1" x14ac:dyDescent="0.35">
      <c r="A18" s="112" t="s">
        <v>61</v>
      </c>
      <c r="B18" s="106" t="s">
        <v>75</v>
      </c>
      <c r="C18" s="106" t="s">
        <v>24</v>
      </c>
      <c r="D18" s="107">
        <v>1.9675925925925924E-3</v>
      </c>
      <c r="E18" s="107">
        <v>2.1990740740740742E-3</v>
      </c>
      <c r="F18" s="104">
        <f>SUM(D18:E18)</f>
        <v>4.1666666666666666E-3</v>
      </c>
    </row>
    <row r="19" spans="1:6" ht="15" customHeight="1" x14ac:dyDescent="0.35">
      <c r="A19" s="112" t="s">
        <v>62</v>
      </c>
      <c r="B19" s="106" t="s">
        <v>75</v>
      </c>
      <c r="C19" s="106" t="s">
        <v>24</v>
      </c>
      <c r="D19" s="107">
        <v>3.5879629629629629E-3</v>
      </c>
      <c r="E19" s="107">
        <v>9.2592592592592596E-4</v>
      </c>
      <c r="F19" s="104">
        <f>SUM(D19:E19)</f>
        <v>4.5138888888888885E-3</v>
      </c>
    </row>
  </sheetData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Roman,Standard"&amp;12&amp;Kffffff&amp;A</oddHeader>
    <oddFooter>&amp;C&amp;"Times New Roman,Standard"&amp;12&amp;KffffffPage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6"/>
  <sheetViews>
    <sheetView zoomScale="78" zoomScaleNormal="78" workbookViewId="0">
      <selection activeCell="B17" sqref="B17"/>
    </sheetView>
  </sheetViews>
  <sheetFormatPr baseColWidth="10" defaultColWidth="11.54296875" defaultRowHeight="15" customHeight="1" x14ac:dyDescent="0.35"/>
  <cols>
    <col min="1" max="1" width="51.26953125" customWidth="1"/>
  </cols>
  <sheetData>
    <row r="2" spans="1:5" ht="15" customHeight="1" x14ac:dyDescent="0.35">
      <c r="A2" s="34" t="s">
        <v>128</v>
      </c>
    </row>
    <row r="4" spans="1:5" ht="15" customHeight="1" x14ac:dyDescent="0.35">
      <c r="A4" s="34" t="s">
        <v>130</v>
      </c>
      <c r="B4" t="s">
        <v>49</v>
      </c>
      <c r="D4" t="s">
        <v>50</v>
      </c>
    </row>
    <row r="5" spans="1:5" ht="15" customHeight="1" x14ac:dyDescent="0.35">
      <c r="A5" t="s">
        <v>51</v>
      </c>
      <c r="B5" s="116">
        <v>9.0277777777777769E-3</v>
      </c>
      <c r="C5" s="117">
        <f>B5</f>
        <v>9.0277777777777769E-3</v>
      </c>
      <c r="D5" s="116">
        <v>8.3333333333333332E-3</v>
      </c>
      <c r="E5" s="117">
        <f>D5*1</f>
        <v>8.3333333333333332E-3</v>
      </c>
    </row>
    <row r="6" spans="1:5" ht="15" customHeight="1" x14ac:dyDescent="0.35">
      <c r="A6" t="s">
        <v>52</v>
      </c>
      <c r="B6" s="116">
        <v>5.5555555555555558E-3</v>
      </c>
      <c r="C6" s="117">
        <f>B6*2</f>
        <v>1.1111111111111112E-2</v>
      </c>
      <c r="D6" s="116">
        <v>6.2500000000000003E-3</v>
      </c>
      <c r="E6" s="117">
        <f>D6*2</f>
        <v>1.2500000000000001E-2</v>
      </c>
    </row>
    <row r="7" spans="1:5" ht="15" customHeight="1" x14ac:dyDescent="0.35">
      <c r="A7" t="s">
        <v>53</v>
      </c>
      <c r="B7" s="118">
        <v>3.472222222222222E-3</v>
      </c>
      <c r="C7" s="119">
        <f>B7*3</f>
        <v>1.0416666666666666E-2</v>
      </c>
      <c r="D7" s="116">
        <v>3.9351851851851848E-3</v>
      </c>
      <c r="E7" s="117">
        <f>D7*3</f>
        <v>1.1805555555555555E-2</v>
      </c>
    </row>
    <row r="8" spans="1:5" ht="15" customHeight="1" x14ac:dyDescent="0.35">
      <c r="B8" s="116"/>
      <c r="C8" s="116"/>
    </row>
    <row r="9" spans="1:5" ht="15" customHeight="1" x14ac:dyDescent="0.35">
      <c r="B9" s="116"/>
      <c r="C9" s="116"/>
    </row>
    <row r="10" spans="1:5" ht="15" customHeight="1" x14ac:dyDescent="0.35">
      <c r="A10" s="34" t="s">
        <v>129</v>
      </c>
      <c r="B10" t="s">
        <v>49</v>
      </c>
      <c r="D10" t="s">
        <v>50</v>
      </c>
    </row>
    <row r="11" spans="1:5" ht="15" customHeight="1" x14ac:dyDescent="0.35">
      <c r="A11" t="s">
        <v>51</v>
      </c>
      <c r="B11" s="116">
        <v>2.0833333333333301E-2</v>
      </c>
      <c r="C11" s="117">
        <f>B11</f>
        <v>2.0833333333333301E-2</v>
      </c>
      <c r="D11" s="118">
        <v>2.013888888888889E-2</v>
      </c>
      <c r="E11" s="117">
        <f>D11*1</f>
        <v>2.013888888888889E-2</v>
      </c>
    </row>
    <row r="12" spans="1:5" ht="15" customHeight="1" x14ac:dyDescent="0.35">
      <c r="A12" t="s">
        <v>52</v>
      </c>
      <c r="B12" s="116">
        <v>1.5625E-2</v>
      </c>
      <c r="C12" s="117">
        <f>B12*2</f>
        <v>3.125E-2</v>
      </c>
      <c r="D12" s="116">
        <v>3.4027777777777775E-2</v>
      </c>
      <c r="E12" s="117">
        <f>D12*2</f>
        <v>6.805555555555555E-2</v>
      </c>
    </row>
    <row r="13" spans="1:5" ht="15" customHeight="1" x14ac:dyDescent="0.35">
      <c r="A13" t="s">
        <v>53</v>
      </c>
      <c r="B13" s="116">
        <v>2.4305555555555601E-2</v>
      </c>
      <c r="C13" s="119">
        <f>B13*3</f>
        <v>7.2916666666666796E-2</v>
      </c>
      <c r="D13" s="116">
        <v>3.888888888888889E-2</v>
      </c>
      <c r="E13" s="117">
        <f>D13*3</f>
        <v>0.11666666666666667</v>
      </c>
    </row>
    <row r="16" spans="1:5" ht="15" customHeight="1" x14ac:dyDescent="0.35">
      <c r="A16" s="126" t="s">
        <v>105</v>
      </c>
      <c r="B16" s="117">
        <v>2.1041666666666667E-2</v>
      </c>
      <c r="C16" t="s">
        <v>49</v>
      </c>
    </row>
  </sheetData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Roman,Standard"&amp;12&amp;Kffffff&amp;A</oddHeader>
    <oddFooter>&amp;C&amp;"Times New Roman,Standard"&amp;12&amp;KffffffPage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2"/>
  <sheetViews>
    <sheetView zoomScale="78" zoomScaleNormal="78" workbookViewId="0">
      <selection activeCell="B17" sqref="B17"/>
    </sheetView>
  </sheetViews>
  <sheetFormatPr baseColWidth="10" defaultColWidth="11.54296875" defaultRowHeight="15" customHeight="1" x14ac:dyDescent="0.35"/>
  <cols>
    <col min="1" max="1" width="37.453125" customWidth="1"/>
  </cols>
  <sheetData>
    <row r="1" spans="1:2" ht="15" customHeight="1" x14ac:dyDescent="0.35">
      <c r="A1" s="34" t="s">
        <v>131</v>
      </c>
      <c r="B1" s="116"/>
    </row>
    <row r="2" spans="1:2" ht="15" customHeight="1" x14ac:dyDescent="0.35">
      <c r="A2" t="s">
        <v>134</v>
      </c>
      <c r="B2" s="116">
        <v>1.5277777777777779E-3</v>
      </c>
    </row>
    <row r="3" spans="1:2" ht="15" customHeight="1" x14ac:dyDescent="0.35">
      <c r="A3" t="s">
        <v>135</v>
      </c>
      <c r="B3" s="116">
        <v>1.1458333333333333E-3</v>
      </c>
    </row>
    <row r="4" spans="1:2" ht="15" customHeight="1" x14ac:dyDescent="0.35">
      <c r="A4" t="s">
        <v>136</v>
      </c>
      <c r="B4" s="116">
        <v>1.2731481481481483E-3</v>
      </c>
    </row>
    <row r="5" spans="1:2" ht="15" customHeight="1" x14ac:dyDescent="0.35">
      <c r="B5" s="116"/>
    </row>
    <row r="6" spans="1:2" ht="15" customHeight="1" x14ac:dyDescent="0.35">
      <c r="A6" s="34" t="s">
        <v>131</v>
      </c>
      <c r="B6" s="116"/>
    </row>
    <row r="7" spans="1:2" ht="15" customHeight="1" x14ac:dyDescent="0.35">
      <c r="A7" t="str">
        <f>Merkmale!A2</f>
        <v>Produktart 1</v>
      </c>
      <c r="B7" s="117">
        <f>B2+B3</f>
        <v>2.673611111111111E-3</v>
      </c>
    </row>
    <row r="8" spans="1:2" ht="15" customHeight="1" x14ac:dyDescent="0.35">
      <c r="A8" t="str">
        <f>Merkmale!A3</f>
        <v>Produktart 2</v>
      </c>
      <c r="B8" s="117">
        <f>B2+B4</f>
        <v>2.8009259259259263E-3</v>
      </c>
    </row>
    <row r="9" spans="1:2" ht="15" customHeight="1" x14ac:dyDescent="0.35">
      <c r="B9" s="116"/>
    </row>
    <row r="10" spans="1:2" ht="15" customHeight="1" x14ac:dyDescent="0.35">
      <c r="A10" s="34" t="s">
        <v>132</v>
      </c>
      <c r="B10" s="116"/>
    </row>
    <row r="11" spans="1:2" ht="15" customHeight="1" x14ac:dyDescent="0.35">
      <c r="A11" t="s">
        <v>61</v>
      </c>
      <c r="B11" s="117">
        <v>4.0740740740740737E-3</v>
      </c>
    </row>
    <row r="12" spans="1:2" ht="15" customHeight="1" x14ac:dyDescent="0.35">
      <c r="A12" t="s">
        <v>62</v>
      </c>
      <c r="B12" s="117">
        <v>2.0833333333333333E-3</v>
      </c>
    </row>
    <row r="13" spans="1:2" ht="15" customHeight="1" x14ac:dyDescent="0.35">
      <c r="B13" s="116"/>
    </row>
    <row r="14" spans="1:2" ht="15" customHeight="1" x14ac:dyDescent="0.35">
      <c r="A14" s="34" t="s">
        <v>133</v>
      </c>
      <c r="B14" s="116"/>
    </row>
    <row r="15" spans="1:2" ht="15" customHeight="1" x14ac:dyDescent="0.35">
      <c r="A15" t="s">
        <v>61</v>
      </c>
      <c r="B15" s="120">
        <v>1.5856481481481481E-3</v>
      </c>
    </row>
    <row r="16" spans="1:2" ht="15" customHeight="1" x14ac:dyDescent="0.35">
      <c r="A16" t="s">
        <v>62</v>
      </c>
      <c r="B16" s="120">
        <v>2.3032407407407407E-3</v>
      </c>
    </row>
    <row r="17" spans="2:2" ht="15" customHeight="1" x14ac:dyDescent="0.35">
      <c r="B17" s="116"/>
    </row>
    <row r="18" spans="2:2" ht="15" customHeight="1" x14ac:dyDescent="0.35">
      <c r="B18" s="116"/>
    </row>
    <row r="19" spans="2:2" ht="15" customHeight="1" x14ac:dyDescent="0.35">
      <c r="B19" s="116"/>
    </row>
    <row r="20" spans="2:2" ht="15" customHeight="1" x14ac:dyDescent="0.35">
      <c r="B20" s="116"/>
    </row>
    <row r="21" spans="2:2" ht="15" customHeight="1" x14ac:dyDescent="0.35">
      <c r="B21" s="116"/>
    </row>
    <row r="22" spans="2:2" ht="15" customHeight="1" x14ac:dyDescent="0.35">
      <c r="B22" s="116"/>
    </row>
  </sheetData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Roman,Standard"&amp;12&amp;Kffffff&amp;A</oddHeader>
    <oddFooter>&amp;C&amp;"Times New Roman,Standard"&amp;12&amp;KffffffPage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zoomScale="78" zoomScaleNormal="78" workbookViewId="0">
      <selection activeCell="B15" sqref="B15"/>
    </sheetView>
  </sheetViews>
  <sheetFormatPr baseColWidth="10" defaultColWidth="11.54296875" defaultRowHeight="15" customHeight="1" x14ac:dyDescent="0.35"/>
  <cols>
    <col min="1" max="1" width="20.26953125" customWidth="1"/>
    <col min="2" max="2" width="23.453125" customWidth="1"/>
    <col min="3" max="3" width="9.81640625" customWidth="1"/>
    <col min="4" max="4" width="19.54296875" customWidth="1"/>
    <col min="5" max="5" width="10.453125" customWidth="1"/>
    <col min="6" max="6" width="24.26953125" customWidth="1"/>
  </cols>
  <sheetData>
    <row r="1" spans="1:6" ht="15" customHeight="1" x14ac:dyDescent="0.35">
      <c r="A1" s="126" t="s">
        <v>137</v>
      </c>
    </row>
    <row r="2" spans="1:6" ht="15" customHeight="1" x14ac:dyDescent="0.35">
      <c r="A2" s="106" t="s">
        <v>54</v>
      </c>
      <c r="B2" s="106" t="s">
        <v>138</v>
      </c>
      <c r="C2" s="101" t="s">
        <v>113</v>
      </c>
      <c r="D2" s="101" t="s">
        <v>141</v>
      </c>
      <c r="E2" s="101" t="s">
        <v>114</v>
      </c>
      <c r="F2" s="101" t="s">
        <v>142</v>
      </c>
    </row>
    <row r="3" spans="1:6" ht="15" customHeight="1" x14ac:dyDescent="0.35">
      <c r="A3" s="106" t="s">
        <v>61</v>
      </c>
      <c r="B3" s="106" t="s">
        <v>139</v>
      </c>
      <c r="C3" s="107">
        <v>3.9120370370370403E-3</v>
      </c>
      <c r="D3" s="107">
        <v>3.8888888888888901E-3</v>
      </c>
      <c r="E3" s="121">
        <v>2.1875000000000002E-3</v>
      </c>
      <c r="F3" s="121">
        <f>C3+E3</f>
        <v>6.0995370370370405E-3</v>
      </c>
    </row>
    <row r="4" spans="1:6" ht="15" customHeight="1" x14ac:dyDescent="0.35">
      <c r="A4" s="106" t="s">
        <v>61</v>
      </c>
      <c r="B4" s="106" t="s">
        <v>140</v>
      </c>
      <c r="C4" s="107">
        <v>4.7222222222222197E-3</v>
      </c>
      <c r="D4" s="107">
        <v>4.2361111111111115E-3</v>
      </c>
      <c r="E4" s="107">
        <v>1.736111111111111E-3</v>
      </c>
      <c r="F4" s="121">
        <f>C4+E4</f>
        <v>6.4583333333333307E-3</v>
      </c>
    </row>
    <row r="5" spans="1:6" ht="15" customHeight="1" x14ac:dyDescent="0.35">
      <c r="A5" s="106" t="s">
        <v>62</v>
      </c>
      <c r="B5" s="106" t="s">
        <v>139</v>
      </c>
      <c r="C5" s="107">
        <v>1.9212962962963001E-3</v>
      </c>
      <c r="D5" s="107"/>
      <c r="E5" s="107">
        <v>1.8749999999999999E-3</v>
      </c>
      <c r="F5" s="121">
        <f>C5+E5</f>
        <v>3.7962962962963002E-3</v>
      </c>
    </row>
    <row r="6" spans="1:6" ht="15" customHeight="1" x14ac:dyDescent="0.35">
      <c r="A6" s="106" t="s">
        <v>62</v>
      </c>
      <c r="B6" s="106" t="s">
        <v>140</v>
      </c>
      <c r="C6" s="107">
        <v>2.3148148148148099E-3</v>
      </c>
      <c r="D6" s="107"/>
      <c r="E6" s="107">
        <v>1.4814814814814814E-3</v>
      </c>
      <c r="F6" s="121">
        <f>C6+E6</f>
        <v>3.7962962962962915E-3</v>
      </c>
    </row>
    <row r="9" spans="1:6" ht="15" customHeight="1" x14ac:dyDescent="0.35">
      <c r="A9" s="34" t="s">
        <v>113</v>
      </c>
      <c r="B9" t="s">
        <v>29</v>
      </c>
      <c r="C9" t="s">
        <v>55</v>
      </c>
      <c r="D9" t="s">
        <v>143</v>
      </c>
    </row>
    <row r="10" spans="1:6" ht="15" customHeight="1" x14ac:dyDescent="0.35">
      <c r="A10" t="s">
        <v>61</v>
      </c>
      <c r="B10" s="117">
        <v>2.51316683656133E-3</v>
      </c>
      <c r="C10" s="117">
        <v>5.0810185185185203E-3</v>
      </c>
    </row>
    <row r="11" spans="1:6" ht="15" customHeight="1" x14ac:dyDescent="0.35">
      <c r="A11" t="s">
        <v>62</v>
      </c>
      <c r="B11" s="117">
        <v>1.9762731481481502E-3</v>
      </c>
      <c r="C11" s="117">
        <v>2.5578703703703701E-3</v>
      </c>
    </row>
    <row r="13" spans="1:6" ht="15" customHeight="1" x14ac:dyDescent="0.35">
      <c r="A13" s="34" t="s">
        <v>141</v>
      </c>
      <c r="B13" s="117">
        <f>AVERAGE(D3,D4)</f>
        <v>4.062500000000001E-3</v>
      </c>
    </row>
    <row r="15" spans="1:6" ht="15" customHeight="1" x14ac:dyDescent="0.35">
      <c r="A15" s="34" t="s">
        <v>144</v>
      </c>
    </row>
    <row r="16" spans="1:6" ht="15" customHeight="1" x14ac:dyDescent="0.35">
      <c r="A16" t="s">
        <v>61</v>
      </c>
      <c r="B16" s="122">
        <f>E4</f>
        <v>1.736111111111111E-3</v>
      </c>
    </row>
    <row r="17" spans="1:2" ht="15" customHeight="1" x14ac:dyDescent="0.35">
      <c r="A17" t="s">
        <v>62</v>
      </c>
      <c r="B17" s="117">
        <f>E6</f>
        <v>1.4814814814814814E-3</v>
      </c>
    </row>
    <row r="19" spans="1:2" ht="15" customHeight="1" x14ac:dyDescent="0.35">
      <c r="A19" s="34" t="s">
        <v>145</v>
      </c>
    </row>
    <row r="20" spans="1:2" ht="15" customHeight="1" x14ac:dyDescent="0.35">
      <c r="A20" t="s">
        <v>61</v>
      </c>
      <c r="B20" s="117">
        <f>E3</f>
        <v>2.1875000000000002E-3</v>
      </c>
    </row>
    <row r="21" spans="1:2" ht="15" customHeight="1" x14ac:dyDescent="0.35">
      <c r="A21" t="s">
        <v>62</v>
      </c>
      <c r="B21" s="117">
        <f>E5</f>
        <v>1.8749999999999999E-3</v>
      </c>
    </row>
  </sheetData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Roman,Standard"&amp;12&amp;Kffffff&amp;A</oddHeader>
    <oddFooter>&amp;C&amp;"Times New Roman,Standard"&amp;12&amp;KffffffPage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"/>
  <sheetViews>
    <sheetView zoomScale="78" zoomScaleNormal="78" workbookViewId="0">
      <selection activeCell="D2" sqref="D2"/>
    </sheetView>
  </sheetViews>
  <sheetFormatPr baseColWidth="10" defaultColWidth="11.54296875" defaultRowHeight="15" customHeight="1" x14ac:dyDescent="0.35"/>
  <sheetData>
    <row r="1" spans="1:4" ht="15" customHeight="1" x14ac:dyDescent="0.35">
      <c r="A1" s="123" t="str">
        <f>Merkmale!A2</f>
        <v>Produktart 1</v>
      </c>
      <c r="B1" s="124">
        <v>7.3726851851851852E-3</v>
      </c>
      <c r="D1" s="126" t="s">
        <v>146</v>
      </c>
    </row>
    <row r="2" spans="1:4" ht="15" customHeight="1" x14ac:dyDescent="0.35">
      <c r="A2" s="123" t="str">
        <f>Merkmale!A3</f>
        <v>Produktart 2</v>
      </c>
      <c r="B2" s="124">
        <v>9.7222222222222224E-3</v>
      </c>
    </row>
  </sheetData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Roman,Standard"&amp;12&amp;Kffffff&amp;A</oddHeader>
    <oddFooter>&amp;C&amp;"Times New Roman,Standard"&amp;12&amp;KffffffPage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1"/>
  <sheetViews>
    <sheetView zoomScale="75" zoomScaleNormal="78" workbookViewId="0">
      <selection activeCell="D7" sqref="D7"/>
    </sheetView>
  </sheetViews>
  <sheetFormatPr baseColWidth="10" defaultColWidth="9.1796875" defaultRowHeight="15" customHeight="1" x14ac:dyDescent="0.35"/>
  <cols>
    <col min="1" max="2" width="14.54296875" customWidth="1"/>
    <col min="3" max="3" width="33.08984375" customWidth="1"/>
    <col min="4" max="4" width="23.36328125" bestFit="1" customWidth="1"/>
    <col min="5" max="5" width="8.7265625" customWidth="1"/>
    <col min="6" max="6" width="5.26953125" customWidth="1"/>
  </cols>
  <sheetData>
    <row r="1" spans="1:8" ht="15" customHeight="1" x14ac:dyDescent="0.35">
      <c r="D1" t="s">
        <v>77</v>
      </c>
    </row>
    <row r="2" spans="1:8" ht="15" customHeight="1" x14ac:dyDescent="0.35">
      <c r="A2" t="s">
        <v>61</v>
      </c>
      <c r="B2" t="s">
        <v>63</v>
      </c>
      <c r="C2" t="s">
        <v>66</v>
      </c>
      <c r="D2" t="s">
        <v>75</v>
      </c>
      <c r="E2" t="s">
        <v>29</v>
      </c>
      <c r="F2" t="s">
        <v>15</v>
      </c>
      <c r="G2" t="s">
        <v>56</v>
      </c>
      <c r="H2" t="s">
        <v>56</v>
      </c>
    </row>
    <row r="3" spans="1:8" ht="15" customHeight="1" x14ac:dyDescent="0.35">
      <c r="A3" t="s">
        <v>62</v>
      </c>
      <c r="B3" t="s">
        <v>64</v>
      </c>
      <c r="C3" t="s">
        <v>67</v>
      </c>
      <c r="D3" t="s">
        <v>76</v>
      </c>
      <c r="E3" t="s">
        <v>24</v>
      </c>
      <c r="F3" t="s">
        <v>57</v>
      </c>
      <c r="G3" t="s">
        <v>28</v>
      </c>
      <c r="H3" t="s">
        <v>28</v>
      </c>
    </row>
    <row r="4" spans="1:8" ht="15" customHeight="1" x14ac:dyDescent="0.35">
      <c r="B4" t="s">
        <v>65</v>
      </c>
      <c r="C4" t="s">
        <v>68</v>
      </c>
      <c r="G4" t="s">
        <v>58</v>
      </c>
      <c r="H4" t="s">
        <v>58</v>
      </c>
    </row>
    <row r="5" spans="1:8" ht="15" customHeight="1" x14ac:dyDescent="0.35">
      <c r="C5" t="s">
        <v>69</v>
      </c>
    </row>
    <row r="6" spans="1:8" ht="15" customHeight="1" x14ac:dyDescent="0.35">
      <c r="C6" t="s">
        <v>70</v>
      </c>
      <c r="D6" t="s">
        <v>78</v>
      </c>
    </row>
    <row r="7" spans="1:8" ht="15" customHeight="1" x14ac:dyDescent="0.35">
      <c r="C7" t="s">
        <v>71</v>
      </c>
    </row>
    <row r="8" spans="1:8" ht="15" customHeight="1" x14ac:dyDescent="0.35">
      <c r="C8" t="s">
        <v>72</v>
      </c>
    </row>
    <row r="9" spans="1:8" ht="15" customHeight="1" x14ac:dyDescent="0.35">
      <c r="C9" t="s">
        <v>73</v>
      </c>
    </row>
    <row r="10" spans="1:8" ht="15" customHeight="1" x14ac:dyDescent="0.35">
      <c r="C10" t="s">
        <v>74</v>
      </c>
    </row>
    <row r="23" ht="14.5" x14ac:dyDescent="0.35"/>
    <row r="24" ht="14.5" x14ac:dyDescent="0.35"/>
    <row r="25" ht="14.5" x14ac:dyDescent="0.35"/>
    <row r="26" ht="14.5" x14ac:dyDescent="0.35"/>
    <row r="27" ht="14.5" x14ac:dyDescent="0.35"/>
    <row r="28" ht="14.5" x14ac:dyDescent="0.35"/>
    <row r="29" ht="14.5" x14ac:dyDescent="0.35"/>
    <row r="30" ht="14.5" x14ac:dyDescent="0.35"/>
    <row r="31" ht="14.5" x14ac:dyDescent="0.35"/>
  </sheetData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"/>
  <sheetViews>
    <sheetView zoomScale="78" zoomScaleNormal="78" workbookViewId="0">
      <selection activeCell="C11" sqref="C11"/>
    </sheetView>
  </sheetViews>
  <sheetFormatPr baseColWidth="10" defaultColWidth="10.6328125" defaultRowHeight="15" customHeight="1" x14ac:dyDescent="0.35"/>
  <cols>
    <col min="1" max="1" width="11.36328125" bestFit="1" customWidth="1"/>
  </cols>
  <sheetData>
    <row r="1" spans="1:3" x14ac:dyDescent="0.35">
      <c r="B1" t="s">
        <v>59</v>
      </c>
      <c r="C1" t="s">
        <v>60</v>
      </c>
    </row>
    <row r="2" spans="1:3" x14ac:dyDescent="0.35">
      <c r="A2" t="s">
        <v>61</v>
      </c>
      <c r="B2" s="125">
        <v>160.61000000000001</v>
      </c>
      <c r="C2" s="125">
        <v>129.15</v>
      </c>
    </row>
    <row r="3" spans="1:3" x14ac:dyDescent="0.35">
      <c r="A3" t="s">
        <v>62</v>
      </c>
      <c r="B3" s="125">
        <v>0</v>
      </c>
      <c r="C3" s="125">
        <v>182.24917514981701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TOOLDRAFT_VERS2</vt:lpstr>
      <vt:lpstr>Lookup_Dataset 1</vt:lpstr>
      <vt:lpstr>Dataset 2</vt:lpstr>
      <vt:lpstr>Dataset 3</vt:lpstr>
      <vt:lpstr>Dataset 4</vt:lpstr>
      <vt:lpstr>Dataset 5</vt:lpstr>
      <vt:lpstr>Merkmale</vt:lpstr>
      <vt:lpstr>ökologische_KPIs</vt:lpstr>
      <vt:lpstr>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Christina Kober</cp:lastModifiedBy>
  <cp:revision>16</cp:revision>
  <dcterms:created xsi:type="dcterms:W3CDTF">2025-04-29T12:31:30Z</dcterms:created>
  <dcterms:modified xsi:type="dcterms:W3CDTF">2025-12-16T09:53:01Z</dcterms:modified>
  <dc:language>de-DE</dc:language>
</cp:coreProperties>
</file>